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5" yWindow="150" windowWidth="19320" windowHeight="7965" tabRatio="800" firstSheet="3" activeTab="8"/>
  </bookViews>
  <sheets>
    <sheet name="Elastic Method Finite" sheetId="1" r:id="rId1"/>
    <sheet name="Elastic Method (Discrete) Strip" sheetId="14" r:id="rId2"/>
    <sheet name="Strip Load Mod Terzaghi" sheetId="12" r:id="rId3"/>
    <sheet name="Strip Load Mod Ter. (Backslope)" sheetId="15" r:id="rId4"/>
    <sheet name="Strip Load Anders (Backslope)" sheetId="17" r:id="rId5"/>
    <sheet name="Strip Load Bous. B&amp;P Vert Ka" sheetId="13" r:id="rId6"/>
    <sheet name="Strip Mod Ter. (BS w- Vert Ka)" sheetId="16" r:id="rId7"/>
    <sheet name="Line Load Mod Terazghi" sheetId="7" r:id="rId8"/>
    <sheet name="Point Load Mod Terzaghi" sheetId="8" r:id="rId9"/>
    <sheet name="NCMA Method" sheetId="9" r:id="rId10"/>
    <sheet name="Sheet1" sheetId="10" r:id="rId11"/>
  </sheets>
  <definedNames>
    <definedName name="H" localSheetId="4">'Strip Load Anders (Backslope)'!$B$9</definedName>
    <definedName name="H" localSheetId="5">'Strip Load Bous. B&amp;P Vert Ka'!$B$8</definedName>
    <definedName name="H" localSheetId="3">'Strip Load Mod Ter. (Backslope)'!$B$9</definedName>
    <definedName name="H" localSheetId="6">'Strip Mod Ter. (BS w- Vert Ka)'!$B$10</definedName>
    <definedName name="H">'Strip Load Mod Terzaghi'!$B$7</definedName>
    <definedName name="K" localSheetId="4">'Strip Load Anders (Backslope)'!$B$11</definedName>
    <definedName name="K" localSheetId="5">'Strip Load Bous. B&amp;P Vert Ka'!$B$9</definedName>
    <definedName name="K" localSheetId="3">'Strip Load Mod Ter. (Backslope)'!$B$11</definedName>
    <definedName name="K" localSheetId="6">'Strip Mod Ter. (BS w- Vert Ka)'!$B$12</definedName>
    <definedName name="K">'Strip Load Mod Terzaghi'!$B$8</definedName>
    <definedName name="Ka">'Strip Load Bous. B&amp;P Vert Ka'!$B$5</definedName>
    <definedName name="Kae">'Strip Mod Ter. (BS w- Vert Ka)'!$B$6</definedName>
    <definedName name="P">'Elastic Method (Discrete) Strip'!$B$17</definedName>
    <definedName name="q" localSheetId="4">'Strip Load Anders (Backslope)'!$B$15</definedName>
    <definedName name="q" localSheetId="5">'Strip Load Bous. B&amp;P Vert Ka'!$B$4</definedName>
    <definedName name="q" localSheetId="3">'Strip Load Mod Ter. (Backslope)'!$B$15</definedName>
    <definedName name="q" localSheetId="6">'Strip Mod Ter. (BS w- Vert Ka)'!$B$16</definedName>
    <definedName name="q">'Strip Load Mod Terzaghi'!$B$4</definedName>
    <definedName name="qi" localSheetId="4">'Strip Load Anders (Backslope)'!$B$5</definedName>
    <definedName name="qi" localSheetId="6">'Strip Mod Ter. (BS w- Vert Ka)'!$B$5</definedName>
    <definedName name="qi">'Strip Load Mod Ter. (Backslope)'!$B$5</definedName>
    <definedName name="Sq" localSheetId="4">'Strip Load Anders (Backslope)'!$B$10</definedName>
    <definedName name="Sq" localSheetId="6">'Strip Mod Ter. (BS w- Vert Ka)'!$B$11</definedName>
    <definedName name="Sq">'Strip Load Mod Ter. (Backslope)'!$B$10</definedName>
    <definedName name="v">'Elastic Method (Discrete) Strip'!$B$9</definedName>
    <definedName name="x_1" localSheetId="4">'Strip Load Anders (Backslope)'!$B$14</definedName>
    <definedName name="x_1" localSheetId="5">'Strip Load Bous. B&amp;P Vert Ka'!$B$6</definedName>
    <definedName name="x_1" localSheetId="3">'Strip Load Mod Ter. (Backslope)'!$B$14</definedName>
    <definedName name="x_1" localSheetId="6">'Strip Mod Ter. (BS w- Vert Ka)'!$B$15</definedName>
    <definedName name="x_1">'Strip Load Mod Terzaghi'!$B$5</definedName>
    <definedName name="X_1a">'Elastic Method (Discrete) Strip'!$E$6</definedName>
    <definedName name="x_1i" localSheetId="4">'Strip Load Anders (Backslope)'!$B$6</definedName>
    <definedName name="x_1i" localSheetId="6">'Strip Mod Ter. (BS w- Vert Ka)'!$B$7</definedName>
    <definedName name="x_1i">'Strip Load Mod Ter. (Backslope)'!$B$6</definedName>
    <definedName name="x_2" localSheetId="4">'Strip Load Anders (Backslope)'!$B$20</definedName>
    <definedName name="x_2" localSheetId="5">'Strip Load Bous. B&amp;P Vert Ka'!$B$13</definedName>
    <definedName name="x_2" localSheetId="3">'Strip Load Mod Ter. (Backslope)'!$B$20</definedName>
    <definedName name="x_2" localSheetId="6">'Strip Mod Ter. (BS w- Vert Ka)'!$B$20</definedName>
    <definedName name="x_2">'Strip Load Mod Terzaghi'!$B$12</definedName>
    <definedName name="X_2a">'Elastic Method (Discrete) Strip'!$E$7</definedName>
    <definedName name="x_q" localSheetId="5">'Strip Load Bous. B&amp;P Vert Ka'!$B$7</definedName>
    <definedName name="x_q">'Strip Load Mod Terzaghi'!$B$6</definedName>
    <definedName name="x_qbs" localSheetId="4">'Strip Load Anders (Backslope)'!$B$13</definedName>
    <definedName name="x_qbs" localSheetId="6">'Strip Mod Ter. (BS w- Vert Ka)'!$B$14</definedName>
    <definedName name="x_qbs">'Strip Load Mod Ter. (Backslope)'!$B$13</definedName>
    <definedName name="x_qi" localSheetId="4">'Strip Load Anders (Backslope)'!$B$8</definedName>
    <definedName name="x_qi" localSheetId="6">'Strip Mod Ter. (BS w- Vert Ka)'!$B$9</definedName>
    <definedName name="x_qi">'Strip Load Mod Ter. (Backslope)'!$B$8</definedName>
    <definedName name="xseg">'Elastic Method (Discrete) Strip'!$B$15</definedName>
    <definedName name="y_1" localSheetId="4">'Strip Load Anders (Backslope)'!$B$7</definedName>
    <definedName name="y_1" localSheetId="6">'Strip Mod Ter. (BS w- Vert Ka)'!$B$8</definedName>
    <definedName name="y_1">'Strip Load Mod Ter. (Backslope)'!$B$7</definedName>
    <definedName name="zseg">'Elastic Method (Discrete) Strip'!$B$16</definedName>
  </definedNames>
  <calcPr calcId="125725"/>
</workbook>
</file>

<file path=xl/calcChain.xml><?xml version="1.0" encoding="utf-8"?>
<calcChain xmlns="http://schemas.openxmlformats.org/spreadsheetml/2006/main">
  <c r="B5" i="1"/>
  <c r="B3" i="8"/>
  <c r="D28" i="16"/>
  <c r="B28" s="1"/>
  <c r="D21" i="13"/>
  <c r="I21" s="1"/>
  <c r="J21" s="1"/>
  <c r="D31" i="17"/>
  <c r="B31" s="1"/>
  <c r="D31" i="15"/>
  <c r="B31" s="1"/>
  <c r="B23" i="12"/>
  <c r="D23"/>
  <c r="J48" i="16"/>
  <c r="J29"/>
  <c r="J30"/>
  <c r="J31"/>
  <c r="J32"/>
  <c r="J33"/>
  <c r="J34"/>
  <c r="J35"/>
  <c r="J36"/>
  <c r="J37"/>
  <c r="J38"/>
  <c r="J39"/>
  <c r="J40"/>
  <c r="J41"/>
  <c r="J42"/>
  <c r="J43"/>
  <c r="J44"/>
  <c r="J45"/>
  <c r="J46"/>
  <c r="J47"/>
  <c r="K32" i="17"/>
  <c r="K33"/>
  <c r="K34"/>
  <c r="K35"/>
  <c r="K36"/>
  <c r="K37"/>
  <c r="K38"/>
  <c r="K39"/>
  <c r="K40"/>
  <c r="K41"/>
  <c r="K42"/>
  <c r="K43"/>
  <c r="K44"/>
  <c r="K45"/>
  <c r="K46"/>
  <c r="K47"/>
  <c r="K48"/>
  <c r="K49"/>
  <c r="K50"/>
  <c r="K51"/>
  <c r="B13"/>
  <c r="F51"/>
  <c r="G51" s="1"/>
  <c r="F50"/>
  <c r="G50" s="1"/>
  <c r="F49"/>
  <c r="G49" s="1"/>
  <c r="F48"/>
  <c r="G48" s="1"/>
  <c r="F47"/>
  <c r="G47" s="1"/>
  <c r="F46"/>
  <c r="G46" s="1"/>
  <c r="F45"/>
  <c r="G45" s="1"/>
  <c r="F44"/>
  <c r="G44" s="1"/>
  <c r="F43"/>
  <c r="G43" s="1"/>
  <c r="F42"/>
  <c r="G42" s="1"/>
  <c r="F41"/>
  <c r="G41" s="1"/>
  <c r="F40"/>
  <c r="G40" s="1"/>
  <c r="F39"/>
  <c r="G39" s="1"/>
  <c r="F38"/>
  <c r="G38" s="1"/>
  <c r="F37"/>
  <c r="G37" s="1"/>
  <c r="F36"/>
  <c r="G36" s="1"/>
  <c r="F35"/>
  <c r="G35" s="1"/>
  <c r="F34"/>
  <c r="G34" s="1"/>
  <c r="F33"/>
  <c r="G33" s="1"/>
  <c r="F32"/>
  <c r="G32" s="1"/>
  <c r="F31"/>
  <c r="G31" s="1"/>
  <c r="B16"/>
  <c r="B14"/>
  <c r="A51" s="1"/>
  <c r="B15"/>
  <c r="F48" i="16"/>
  <c r="G48" s="1"/>
  <c r="F47"/>
  <c r="G47" s="1"/>
  <c r="F46"/>
  <c r="G46" s="1"/>
  <c r="F45"/>
  <c r="G45" s="1"/>
  <c r="F44"/>
  <c r="G44" s="1"/>
  <c r="F43"/>
  <c r="G43" s="1"/>
  <c r="F42"/>
  <c r="G42" s="1"/>
  <c r="F41"/>
  <c r="G41" s="1"/>
  <c r="F40"/>
  <c r="G40" s="1"/>
  <c r="F39"/>
  <c r="G39" s="1"/>
  <c r="F38"/>
  <c r="G38" s="1"/>
  <c r="F37"/>
  <c r="G37" s="1"/>
  <c r="F36"/>
  <c r="G36" s="1"/>
  <c r="F35"/>
  <c r="G35" s="1"/>
  <c r="F34"/>
  <c r="G34" s="1"/>
  <c r="F33"/>
  <c r="G33" s="1"/>
  <c r="F32"/>
  <c r="G32" s="1"/>
  <c r="F31"/>
  <c r="G31" s="1"/>
  <c r="F30"/>
  <c r="G30" s="1"/>
  <c r="F29"/>
  <c r="G29" s="1"/>
  <c r="F28"/>
  <c r="G28" s="1"/>
  <c r="B17"/>
  <c r="B15"/>
  <c r="B14"/>
  <c r="B16" s="1"/>
  <c r="I28" s="1"/>
  <c r="J28" s="1"/>
  <c r="B13" i="15"/>
  <c r="B15" s="1"/>
  <c r="B16"/>
  <c r="B14"/>
  <c r="F51"/>
  <c r="G51" s="1"/>
  <c r="F50"/>
  <c r="G50" s="1"/>
  <c r="F49"/>
  <c r="G49" s="1"/>
  <c r="F48"/>
  <c r="G48" s="1"/>
  <c r="F47"/>
  <c r="G47" s="1"/>
  <c r="F46"/>
  <c r="G46" s="1"/>
  <c r="F45"/>
  <c r="G45" s="1"/>
  <c r="F44"/>
  <c r="G44" s="1"/>
  <c r="F43"/>
  <c r="G43" s="1"/>
  <c r="F42"/>
  <c r="G42" s="1"/>
  <c r="F41"/>
  <c r="G41" s="1"/>
  <c r="F40"/>
  <c r="G40" s="1"/>
  <c r="F39"/>
  <c r="G39" s="1"/>
  <c r="F38"/>
  <c r="G38" s="1"/>
  <c r="F37"/>
  <c r="G37" s="1"/>
  <c r="F36"/>
  <c r="G36" s="1"/>
  <c r="F35"/>
  <c r="G35" s="1"/>
  <c r="F34"/>
  <c r="G34" s="1"/>
  <c r="F33"/>
  <c r="G33" s="1"/>
  <c r="F32"/>
  <c r="G32" s="1"/>
  <c r="F31"/>
  <c r="G31" s="1"/>
  <c r="B25" i="14"/>
  <c r="AV23"/>
  <c r="AV24"/>
  <c r="AV25"/>
  <c r="AV22"/>
  <c r="AW22"/>
  <c r="AZ22"/>
  <c r="BA22"/>
  <c r="BB22"/>
  <c r="BC22"/>
  <c r="BD22"/>
  <c r="BE22"/>
  <c r="BF22"/>
  <c r="BG22"/>
  <c r="BH22"/>
  <c r="BI22"/>
  <c r="BJ22"/>
  <c r="BK22"/>
  <c r="BL22"/>
  <c r="BM22"/>
  <c r="BN22"/>
  <c r="BO22"/>
  <c r="BP22"/>
  <c r="BQ22"/>
  <c r="BR22"/>
  <c r="BS22"/>
  <c r="BT22"/>
  <c r="BU22"/>
  <c r="BV22"/>
  <c r="BW22"/>
  <c r="BX22"/>
  <c r="BY22"/>
  <c r="BZ22"/>
  <c r="CA22"/>
  <c r="CB22"/>
  <c r="B18" i="1"/>
  <c r="M25" i="14"/>
  <c r="B16"/>
  <c r="N28" s="1"/>
  <c r="M28" s="1"/>
  <c r="B15"/>
  <c r="B17" s="1"/>
  <c r="E8"/>
  <c r="B9" s="1"/>
  <c r="E7"/>
  <c r="E6"/>
  <c r="S23" s="1"/>
  <c r="B21" i="13" l="1"/>
  <c r="A46" i="16"/>
  <c r="I31" i="17"/>
  <c r="K31" s="1"/>
  <c r="J31"/>
  <c r="M31"/>
  <c r="B19"/>
  <c r="B21"/>
  <c r="A32"/>
  <c r="A34"/>
  <c r="A36"/>
  <c r="A38"/>
  <c r="A40"/>
  <c r="A42"/>
  <c r="A44"/>
  <c r="A46"/>
  <c r="A48"/>
  <c r="A50"/>
  <c r="B20"/>
  <c r="B22"/>
  <c r="B23" s="1"/>
  <c r="A33"/>
  <c r="A35"/>
  <c r="A37"/>
  <c r="A39"/>
  <c r="A41"/>
  <c r="A43"/>
  <c r="A45"/>
  <c r="A47"/>
  <c r="A49"/>
  <c r="A29" i="16"/>
  <c r="A30"/>
  <c r="A32"/>
  <c r="A33"/>
  <c r="A36"/>
  <c r="A37"/>
  <c r="A40"/>
  <c r="A43"/>
  <c r="A44"/>
  <c r="A47"/>
  <c r="A48"/>
  <c r="A31"/>
  <c r="A34"/>
  <c r="A35"/>
  <c r="A38"/>
  <c r="A39"/>
  <c r="A41"/>
  <c r="A42"/>
  <c r="A45"/>
  <c r="L28"/>
  <c r="B19"/>
  <c r="B20"/>
  <c r="A50" i="15"/>
  <c r="B19"/>
  <c r="B21"/>
  <c r="A49"/>
  <c r="A32"/>
  <c r="A33"/>
  <c r="A34"/>
  <c r="A41"/>
  <c r="A42"/>
  <c r="A37"/>
  <c r="A38"/>
  <c r="A45"/>
  <c r="A46"/>
  <c r="A35"/>
  <c r="A36"/>
  <c r="A39"/>
  <c r="A40"/>
  <c r="A43"/>
  <c r="A44"/>
  <c r="A47"/>
  <c r="A48"/>
  <c r="A51"/>
  <c r="BA23" i="14"/>
  <c r="L31" i="15"/>
  <c r="C27" i="14"/>
  <c r="B27" s="1"/>
  <c r="C29"/>
  <c r="B29" s="1"/>
  <c r="C31"/>
  <c r="B31" s="1"/>
  <c r="C33"/>
  <c r="B33" s="1"/>
  <c r="C35"/>
  <c r="B35" s="1"/>
  <c r="C37"/>
  <c r="B37" s="1"/>
  <c r="C39"/>
  <c r="B39" s="1"/>
  <c r="C41"/>
  <c r="B41" s="1"/>
  <c r="C43"/>
  <c r="B43" s="1"/>
  <c r="C45"/>
  <c r="B45" s="1"/>
  <c r="C47"/>
  <c r="B47" s="1"/>
  <c r="C49"/>
  <c r="B49" s="1"/>
  <c r="C51"/>
  <c r="B51" s="1"/>
  <c r="C53"/>
  <c r="B53" s="1"/>
  <c r="C55"/>
  <c r="B55" s="1"/>
  <c r="C26"/>
  <c r="B26" s="1"/>
  <c r="C28"/>
  <c r="B28" s="1"/>
  <c r="C30"/>
  <c r="B30" s="1"/>
  <c r="C32"/>
  <c r="B32" s="1"/>
  <c r="C34"/>
  <c r="B34" s="1"/>
  <c r="C36"/>
  <c r="B36" s="1"/>
  <c r="C38"/>
  <c r="B38" s="1"/>
  <c r="C40"/>
  <c r="B40" s="1"/>
  <c r="C42"/>
  <c r="B42" s="1"/>
  <c r="C44"/>
  <c r="B44" s="1"/>
  <c r="C46"/>
  <c r="B46" s="1"/>
  <c r="C48"/>
  <c r="B48" s="1"/>
  <c r="C50"/>
  <c r="B50" s="1"/>
  <c r="C52"/>
  <c r="B52" s="1"/>
  <c r="C54"/>
  <c r="B54" s="1"/>
  <c r="AT23"/>
  <c r="AR23"/>
  <c r="AP23"/>
  <c r="AN23"/>
  <c r="AL23"/>
  <c r="AJ23"/>
  <c r="AH23"/>
  <c r="AF23"/>
  <c r="AD23"/>
  <c r="AB23"/>
  <c r="Z23"/>
  <c r="X23"/>
  <c r="V23"/>
  <c r="T23"/>
  <c r="R23"/>
  <c r="AS23"/>
  <c r="AQ23"/>
  <c r="AO23"/>
  <c r="AM23"/>
  <c r="AK23"/>
  <c r="AI23"/>
  <c r="AG23"/>
  <c r="AE23"/>
  <c r="AC23"/>
  <c r="AA23"/>
  <c r="Y23"/>
  <c r="W23"/>
  <c r="U23"/>
  <c r="AV28"/>
  <c r="P22"/>
  <c r="Q22"/>
  <c r="N55"/>
  <c r="N53"/>
  <c r="N51"/>
  <c r="N49"/>
  <c r="N47"/>
  <c r="N45"/>
  <c r="N43"/>
  <c r="N41"/>
  <c r="N39"/>
  <c r="N37"/>
  <c r="N35"/>
  <c r="N33"/>
  <c r="N31"/>
  <c r="N29"/>
  <c r="N27"/>
  <c r="N26"/>
  <c r="AV26" s="1"/>
  <c r="N54"/>
  <c r="N52"/>
  <c r="N50"/>
  <c r="N48"/>
  <c r="N46"/>
  <c r="N44"/>
  <c r="N42"/>
  <c r="N40"/>
  <c r="N38"/>
  <c r="N36"/>
  <c r="N34"/>
  <c r="N32"/>
  <c r="N30"/>
  <c r="F41" i="13"/>
  <c r="G41" s="1"/>
  <c r="F40"/>
  <c r="G40" s="1"/>
  <c r="F39"/>
  <c r="G39" s="1"/>
  <c r="F38"/>
  <c r="G38" s="1"/>
  <c r="F37"/>
  <c r="G37" s="1"/>
  <c r="F36"/>
  <c r="G36" s="1"/>
  <c r="F35"/>
  <c r="G35" s="1"/>
  <c r="F34"/>
  <c r="G34" s="1"/>
  <c r="F33"/>
  <c r="G33" s="1"/>
  <c r="F32"/>
  <c r="G32" s="1"/>
  <c r="F31"/>
  <c r="G31" s="1"/>
  <c r="F30"/>
  <c r="G30" s="1"/>
  <c r="F29"/>
  <c r="G29" s="1"/>
  <c r="F28"/>
  <c r="G28" s="1"/>
  <c r="F27"/>
  <c r="G27" s="1"/>
  <c r="F26"/>
  <c r="G26" s="1"/>
  <c r="F25"/>
  <c r="G25" s="1"/>
  <c r="F24"/>
  <c r="G24" s="1"/>
  <c r="F23"/>
  <c r="G23" s="1"/>
  <c r="F22"/>
  <c r="G22" s="1"/>
  <c r="F21"/>
  <c r="G21" s="1"/>
  <c r="B13"/>
  <c r="B12"/>
  <c r="F23" i="12"/>
  <c r="F40"/>
  <c r="A40" s="1"/>
  <c r="F41"/>
  <c r="G41" s="1"/>
  <c r="F42"/>
  <c r="A42" s="1"/>
  <c r="F43"/>
  <c r="A43" s="1"/>
  <c r="F24"/>
  <c r="G24" s="1"/>
  <c r="F25"/>
  <c r="G25" s="1"/>
  <c r="F26"/>
  <c r="G26" s="1"/>
  <c r="F27"/>
  <c r="G27" s="1"/>
  <c r="F28"/>
  <c r="G28" s="1"/>
  <c r="F29"/>
  <c r="G29" s="1"/>
  <c r="F30"/>
  <c r="G30" s="1"/>
  <c r="F31"/>
  <c r="G31" s="1"/>
  <c r="F32"/>
  <c r="G32" s="1"/>
  <c r="F33"/>
  <c r="F34"/>
  <c r="A34" s="1"/>
  <c r="F35"/>
  <c r="A35" s="1"/>
  <c r="F36"/>
  <c r="A36" s="1"/>
  <c r="F37"/>
  <c r="F38"/>
  <c r="A38" s="1"/>
  <c r="F39"/>
  <c r="A39" s="1"/>
  <c r="G33"/>
  <c r="A37"/>
  <c r="J23"/>
  <c r="I23"/>
  <c r="G23"/>
  <c r="B14"/>
  <c r="B13"/>
  <c r="B12"/>
  <c r="C41" s="1"/>
  <c r="B11"/>
  <c r="C51" i="17" l="1"/>
  <c r="D51" s="1"/>
  <c r="C49"/>
  <c r="D49" s="1"/>
  <c r="B49" s="1"/>
  <c r="C47"/>
  <c r="D47" s="1"/>
  <c r="C45"/>
  <c r="D45" s="1"/>
  <c r="C43"/>
  <c r="D43" s="1"/>
  <c r="C41"/>
  <c r="D41" s="1"/>
  <c r="B41" s="1"/>
  <c r="C39"/>
  <c r="D39" s="1"/>
  <c r="C37"/>
  <c r="D37" s="1"/>
  <c r="C35"/>
  <c r="D35" s="1"/>
  <c r="C33"/>
  <c r="D33" s="1"/>
  <c r="B33" s="1"/>
  <c r="C50"/>
  <c r="D50" s="1"/>
  <c r="C48"/>
  <c r="D48" s="1"/>
  <c r="B48" s="1"/>
  <c r="C46"/>
  <c r="D46" s="1"/>
  <c r="C44"/>
  <c r="D44" s="1"/>
  <c r="B44" s="1"/>
  <c r="C42"/>
  <c r="D42" s="1"/>
  <c r="C40"/>
  <c r="D40" s="1"/>
  <c r="B40" s="1"/>
  <c r="C38"/>
  <c r="D38" s="1"/>
  <c r="C36"/>
  <c r="D36" s="1"/>
  <c r="B36" s="1"/>
  <c r="C34"/>
  <c r="D34" s="1"/>
  <c r="C32"/>
  <c r="D32" s="1"/>
  <c r="B32" s="1"/>
  <c r="B45"/>
  <c r="B37"/>
  <c r="C48" i="16"/>
  <c r="D48" s="1"/>
  <c r="I48" s="1"/>
  <c r="C45"/>
  <c r="D45" s="1"/>
  <c r="I45" s="1"/>
  <c r="C44"/>
  <c r="D44" s="1"/>
  <c r="I44" s="1"/>
  <c r="C41"/>
  <c r="D41" s="1"/>
  <c r="I41" s="1"/>
  <c r="C40"/>
  <c r="D40" s="1"/>
  <c r="I40" s="1"/>
  <c r="C37"/>
  <c r="D37" s="1"/>
  <c r="I37" s="1"/>
  <c r="C36"/>
  <c r="D36" s="1"/>
  <c r="I36" s="1"/>
  <c r="C33"/>
  <c r="D33" s="1"/>
  <c r="C32"/>
  <c r="D32" s="1"/>
  <c r="C30"/>
  <c r="D30" s="1"/>
  <c r="I30" s="1"/>
  <c r="C29"/>
  <c r="D29" s="1"/>
  <c r="C47"/>
  <c r="D47" s="1"/>
  <c r="I47" s="1"/>
  <c r="C46"/>
  <c r="D46" s="1"/>
  <c r="C43"/>
  <c r="D43" s="1"/>
  <c r="I43" s="1"/>
  <c r="C42"/>
  <c r="D42" s="1"/>
  <c r="I42" s="1"/>
  <c r="C39"/>
  <c r="D39" s="1"/>
  <c r="I39" s="1"/>
  <c r="C38"/>
  <c r="D38" s="1"/>
  <c r="I38" s="1"/>
  <c r="C35"/>
  <c r="D35" s="1"/>
  <c r="I35" s="1"/>
  <c r="C34"/>
  <c r="D34" s="1"/>
  <c r="C31"/>
  <c r="D31" s="1"/>
  <c r="I31" s="1"/>
  <c r="B48"/>
  <c r="BE23" i="14"/>
  <c r="BI23"/>
  <c r="BM23"/>
  <c r="BQ23"/>
  <c r="BU23"/>
  <c r="BY23"/>
  <c r="AZ23"/>
  <c r="BD23"/>
  <c r="BH23"/>
  <c r="BL23"/>
  <c r="BP23"/>
  <c r="BT23"/>
  <c r="BX23"/>
  <c r="CB23"/>
  <c r="BC23"/>
  <c r="BG23"/>
  <c r="BK23"/>
  <c r="BO23"/>
  <c r="BS23"/>
  <c r="BW23"/>
  <c r="CA23"/>
  <c r="BB23"/>
  <c r="BF23"/>
  <c r="BJ23"/>
  <c r="BN23"/>
  <c r="BR23"/>
  <c r="BV23"/>
  <c r="BZ23"/>
  <c r="M32"/>
  <c r="AV32"/>
  <c r="M36"/>
  <c r="AV36"/>
  <c r="M40"/>
  <c r="AV40"/>
  <c r="M44"/>
  <c r="AV44"/>
  <c r="M48"/>
  <c r="AV48"/>
  <c r="M52"/>
  <c r="AV52"/>
  <c r="M29"/>
  <c r="AV29"/>
  <c r="M33"/>
  <c r="AV33"/>
  <c r="M37"/>
  <c r="AV37"/>
  <c r="M41"/>
  <c r="AV41"/>
  <c r="M45"/>
  <c r="AV45"/>
  <c r="M49"/>
  <c r="AV49"/>
  <c r="M53"/>
  <c r="AV53"/>
  <c r="Q23"/>
  <c r="Q26" s="1"/>
  <c r="AY22"/>
  <c r="M30"/>
  <c r="AV30"/>
  <c r="M34"/>
  <c r="AV34"/>
  <c r="M38"/>
  <c r="AV38"/>
  <c r="M42"/>
  <c r="AV42"/>
  <c r="M46"/>
  <c r="AV46"/>
  <c r="M50"/>
  <c r="AV50"/>
  <c r="M54"/>
  <c r="AV54"/>
  <c r="M27"/>
  <c r="AV27"/>
  <c r="M31"/>
  <c r="AV31"/>
  <c r="M35"/>
  <c r="AV35"/>
  <c r="M39"/>
  <c r="AV39"/>
  <c r="M43"/>
  <c r="AV43"/>
  <c r="M47"/>
  <c r="AV47"/>
  <c r="M51"/>
  <c r="AV51"/>
  <c r="M55"/>
  <c r="AV55"/>
  <c r="P23"/>
  <c r="P55" s="1"/>
  <c r="AX22"/>
  <c r="S26"/>
  <c r="BA26" s="1"/>
  <c r="S28"/>
  <c r="BA28" s="1"/>
  <c r="S30"/>
  <c r="BA30" s="1"/>
  <c r="S32"/>
  <c r="BA32" s="1"/>
  <c r="S34"/>
  <c r="BA34" s="1"/>
  <c r="S36"/>
  <c r="BA36" s="1"/>
  <c r="S38"/>
  <c r="BA38" s="1"/>
  <c r="S40"/>
  <c r="BA40" s="1"/>
  <c r="S27"/>
  <c r="BA27" s="1"/>
  <c r="S29"/>
  <c r="BA29" s="1"/>
  <c r="S31"/>
  <c r="BA31" s="1"/>
  <c r="S33"/>
  <c r="BA33" s="1"/>
  <c r="S35"/>
  <c r="BA35" s="1"/>
  <c r="S37"/>
  <c r="BA37" s="1"/>
  <c r="S39"/>
  <c r="BA39" s="1"/>
  <c r="S41"/>
  <c r="BA41" s="1"/>
  <c r="S43"/>
  <c r="BA43" s="1"/>
  <c r="S45"/>
  <c r="BA45" s="1"/>
  <c r="S47"/>
  <c r="BA47" s="1"/>
  <c r="S49"/>
  <c r="BA49" s="1"/>
  <c r="S51"/>
  <c r="BA51" s="1"/>
  <c r="S53"/>
  <c r="BA53" s="1"/>
  <c r="S55"/>
  <c r="BA55" s="1"/>
  <c r="S25"/>
  <c r="BA25" s="1"/>
  <c r="S42"/>
  <c r="BA42" s="1"/>
  <c r="S44"/>
  <c r="BA44" s="1"/>
  <c r="S46"/>
  <c r="BA46" s="1"/>
  <c r="S48"/>
  <c r="BA48" s="1"/>
  <c r="S50"/>
  <c r="BA50" s="1"/>
  <c r="S52"/>
  <c r="BA52" s="1"/>
  <c r="S54"/>
  <c r="BA54" s="1"/>
  <c r="W26"/>
  <c r="BE26" s="1"/>
  <c r="W28"/>
  <c r="BE28" s="1"/>
  <c r="W30"/>
  <c r="BE30" s="1"/>
  <c r="W32"/>
  <c r="BE32" s="1"/>
  <c r="W34"/>
  <c r="BE34" s="1"/>
  <c r="W36"/>
  <c r="BE36" s="1"/>
  <c r="W38"/>
  <c r="BE38" s="1"/>
  <c r="W40"/>
  <c r="BE40" s="1"/>
  <c r="W27"/>
  <c r="BE27" s="1"/>
  <c r="W29"/>
  <c r="BE29" s="1"/>
  <c r="W31"/>
  <c r="BE31" s="1"/>
  <c r="W33"/>
  <c r="BE33" s="1"/>
  <c r="W35"/>
  <c r="BE35" s="1"/>
  <c r="W37"/>
  <c r="BE37" s="1"/>
  <c r="W39"/>
  <c r="BE39" s="1"/>
  <c r="W41"/>
  <c r="BE41" s="1"/>
  <c r="W43"/>
  <c r="BE43" s="1"/>
  <c r="W45"/>
  <c r="BE45" s="1"/>
  <c r="W47"/>
  <c r="BE47" s="1"/>
  <c r="W49"/>
  <c r="BE49" s="1"/>
  <c r="W51"/>
  <c r="BE51" s="1"/>
  <c r="W53"/>
  <c r="BE53" s="1"/>
  <c r="W55"/>
  <c r="BE55" s="1"/>
  <c r="W25"/>
  <c r="BE25" s="1"/>
  <c r="W42"/>
  <c r="BE42" s="1"/>
  <c r="W44"/>
  <c r="BE44" s="1"/>
  <c r="W46"/>
  <c r="BE46" s="1"/>
  <c r="W48"/>
  <c r="BE48" s="1"/>
  <c r="W50"/>
  <c r="BE50" s="1"/>
  <c r="W52"/>
  <c r="BE52" s="1"/>
  <c r="W54"/>
  <c r="BE54" s="1"/>
  <c r="AA26"/>
  <c r="BI26" s="1"/>
  <c r="AA28"/>
  <c r="BI28" s="1"/>
  <c r="AA30"/>
  <c r="BI30" s="1"/>
  <c r="AA32"/>
  <c r="BI32" s="1"/>
  <c r="AA34"/>
  <c r="BI34" s="1"/>
  <c r="AA36"/>
  <c r="BI36" s="1"/>
  <c r="AA38"/>
  <c r="BI38" s="1"/>
  <c r="AA40"/>
  <c r="BI40" s="1"/>
  <c r="AA27"/>
  <c r="BI27" s="1"/>
  <c r="AA29"/>
  <c r="BI29" s="1"/>
  <c r="AA31"/>
  <c r="BI31" s="1"/>
  <c r="AA33"/>
  <c r="BI33" s="1"/>
  <c r="AA35"/>
  <c r="BI35" s="1"/>
  <c r="AA37"/>
  <c r="BI37" s="1"/>
  <c r="AA39"/>
  <c r="BI39" s="1"/>
  <c r="AA41"/>
  <c r="BI41" s="1"/>
  <c r="AA43"/>
  <c r="BI43" s="1"/>
  <c r="AA45"/>
  <c r="BI45" s="1"/>
  <c r="AA47"/>
  <c r="BI47" s="1"/>
  <c r="AA49"/>
  <c r="BI49" s="1"/>
  <c r="AA51"/>
  <c r="BI51" s="1"/>
  <c r="AA53"/>
  <c r="BI53" s="1"/>
  <c r="AA55"/>
  <c r="BI55" s="1"/>
  <c r="AA25"/>
  <c r="BI25" s="1"/>
  <c r="AA42"/>
  <c r="BI42" s="1"/>
  <c r="AA44"/>
  <c r="BI44" s="1"/>
  <c r="AA46"/>
  <c r="BI46" s="1"/>
  <c r="AA48"/>
  <c r="BI48" s="1"/>
  <c r="AA50"/>
  <c r="BI50" s="1"/>
  <c r="AA52"/>
  <c r="BI52" s="1"/>
  <c r="AA54"/>
  <c r="BI54" s="1"/>
  <c r="AE26"/>
  <c r="BM26" s="1"/>
  <c r="AE28"/>
  <c r="BM28" s="1"/>
  <c r="AE30"/>
  <c r="BM30" s="1"/>
  <c r="AE32"/>
  <c r="BM32" s="1"/>
  <c r="AE34"/>
  <c r="BM34" s="1"/>
  <c r="AE36"/>
  <c r="BM36" s="1"/>
  <c r="AE38"/>
  <c r="BM38" s="1"/>
  <c r="AE40"/>
  <c r="BM40" s="1"/>
  <c r="AE27"/>
  <c r="BM27" s="1"/>
  <c r="AE29"/>
  <c r="BM29" s="1"/>
  <c r="AE31"/>
  <c r="BM31" s="1"/>
  <c r="AE33"/>
  <c r="BM33" s="1"/>
  <c r="AE35"/>
  <c r="BM35" s="1"/>
  <c r="AE37"/>
  <c r="BM37" s="1"/>
  <c r="AE39"/>
  <c r="BM39" s="1"/>
  <c r="AE41"/>
  <c r="BM41" s="1"/>
  <c r="AE43"/>
  <c r="BM43" s="1"/>
  <c r="AE45"/>
  <c r="BM45" s="1"/>
  <c r="AE47"/>
  <c r="BM47" s="1"/>
  <c r="AE49"/>
  <c r="BM49" s="1"/>
  <c r="AE51"/>
  <c r="BM51" s="1"/>
  <c r="AE53"/>
  <c r="BM53" s="1"/>
  <c r="AE55"/>
  <c r="BM55" s="1"/>
  <c r="AE25"/>
  <c r="BM25" s="1"/>
  <c r="AE42"/>
  <c r="BM42" s="1"/>
  <c r="AE44"/>
  <c r="BM44" s="1"/>
  <c r="AE46"/>
  <c r="BM46" s="1"/>
  <c r="AE48"/>
  <c r="BM48" s="1"/>
  <c r="AE50"/>
  <c r="BM50" s="1"/>
  <c r="AE52"/>
  <c r="BM52" s="1"/>
  <c r="AE54"/>
  <c r="BM54" s="1"/>
  <c r="AI26"/>
  <c r="BQ26" s="1"/>
  <c r="AI28"/>
  <c r="BQ28" s="1"/>
  <c r="AI30"/>
  <c r="BQ30" s="1"/>
  <c r="AI32"/>
  <c r="BQ32" s="1"/>
  <c r="AI34"/>
  <c r="BQ34" s="1"/>
  <c r="AI36"/>
  <c r="BQ36" s="1"/>
  <c r="AI38"/>
  <c r="BQ38" s="1"/>
  <c r="AI40"/>
  <c r="BQ40" s="1"/>
  <c r="AI27"/>
  <c r="BQ27" s="1"/>
  <c r="AI29"/>
  <c r="BQ29" s="1"/>
  <c r="AI31"/>
  <c r="BQ31" s="1"/>
  <c r="AI33"/>
  <c r="BQ33" s="1"/>
  <c r="AI35"/>
  <c r="BQ35" s="1"/>
  <c r="AI37"/>
  <c r="BQ37" s="1"/>
  <c r="AI39"/>
  <c r="BQ39" s="1"/>
  <c r="AI41"/>
  <c r="BQ41" s="1"/>
  <c r="AI43"/>
  <c r="BQ43" s="1"/>
  <c r="AI45"/>
  <c r="BQ45" s="1"/>
  <c r="AI47"/>
  <c r="BQ47" s="1"/>
  <c r="AI49"/>
  <c r="BQ49" s="1"/>
  <c r="AI51"/>
  <c r="BQ51" s="1"/>
  <c r="AI53"/>
  <c r="BQ53" s="1"/>
  <c r="AI55"/>
  <c r="BQ55" s="1"/>
  <c r="AI25"/>
  <c r="BQ25" s="1"/>
  <c r="AI42"/>
  <c r="BQ42" s="1"/>
  <c r="AI44"/>
  <c r="BQ44" s="1"/>
  <c r="AI46"/>
  <c r="BQ46" s="1"/>
  <c r="AI48"/>
  <c r="BQ48" s="1"/>
  <c r="AI50"/>
  <c r="BQ50" s="1"/>
  <c r="AI52"/>
  <c r="BQ52" s="1"/>
  <c r="AI54"/>
  <c r="BQ54" s="1"/>
  <c r="AM26"/>
  <c r="BU26" s="1"/>
  <c r="AM28"/>
  <c r="BU28" s="1"/>
  <c r="AM30"/>
  <c r="BU30" s="1"/>
  <c r="AM32"/>
  <c r="BU32" s="1"/>
  <c r="AM34"/>
  <c r="BU34" s="1"/>
  <c r="AM36"/>
  <c r="BU36" s="1"/>
  <c r="AM38"/>
  <c r="BU38" s="1"/>
  <c r="AM40"/>
  <c r="BU40" s="1"/>
  <c r="AM27"/>
  <c r="BU27" s="1"/>
  <c r="AM29"/>
  <c r="BU29" s="1"/>
  <c r="AM31"/>
  <c r="BU31" s="1"/>
  <c r="AM33"/>
  <c r="BU33" s="1"/>
  <c r="AM35"/>
  <c r="BU35" s="1"/>
  <c r="AM37"/>
  <c r="BU37" s="1"/>
  <c r="AM39"/>
  <c r="BU39" s="1"/>
  <c r="AM41"/>
  <c r="BU41" s="1"/>
  <c r="AM43"/>
  <c r="BU43" s="1"/>
  <c r="AM45"/>
  <c r="BU45" s="1"/>
  <c r="AM47"/>
  <c r="BU47" s="1"/>
  <c r="AM49"/>
  <c r="BU49" s="1"/>
  <c r="AM51"/>
  <c r="BU51" s="1"/>
  <c r="AM53"/>
  <c r="BU53" s="1"/>
  <c r="AM55"/>
  <c r="BU55" s="1"/>
  <c r="AM25"/>
  <c r="BU25" s="1"/>
  <c r="AM42"/>
  <c r="BU42" s="1"/>
  <c r="AM44"/>
  <c r="BU44" s="1"/>
  <c r="AM46"/>
  <c r="BU46" s="1"/>
  <c r="AM48"/>
  <c r="BU48" s="1"/>
  <c r="AM50"/>
  <c r="BU50" s="1"/>
  <c r="AM52"/>
  <c r="BU52" s="1"/>
  <c r="AM54"/>
  <c r="BU54" s="1"/>
  <c r="AQ26"/>
  <c r="BY26" s="1"/>
  <c r="AQ28"/>
  <c r="BY28" s="1"/>
  <c r="AQ30"/>
  <c r="BY30" s="1"/>
  <c r="AQ32"/>
  <c r="BY32" s="1"/>
  <c r="AQ34"/>
  <c r="BY34" s="1"/>
  <c r="AQ36"/>
  <c r="BY36" s="1"/>
  <c r="AQ38"/>
  <c r="BY38" s="1"/>
  <c r="AQ40"/>
  <c r="BY40" s="1"/>
  <c r="AQ27"/>
  <c r="BY27" s="1"/>
  <c r="AQ29"/>
  <c r="BY29" s="1"/>
  <c r="AQ31"/>
  <c r="BY31" s="1"/>
  <c r="AQ33"/>
  <c r="BY33" s="1"/>
  <c r="AQ35"/>
  <c r="BY35" s="1"/>
  <c r="AQ37"/>
  <c r="BY37" s="1"/>
  <c r="AQ39"/>
  <c r="BY39" s="1"/>
  <c r="AQ41"/>
  <c r="BY41" s="1"/>
  <c r="AQ43"/>
  <c r="BY43" s="1"/>
  <c r="AQ45"/>
  <c r="BY45" s="1"/>
  <c r="AQ47"/>
  <c r="BY47" s="1"/>
  <c r="AQ49"/>
  <c r="BY49" s="1"/>
  <c r="AQ51"/>
  <c r="BY51" s="1"/>
  <c r="AQ53"/>
  <c r="BY53" s="1"/>
  <c r="AQ55"/>
  <c r="BY55" s="1"/>
  <c r="AQ25"/>
  <c r="BY25" s="1"/>
  <c r="AQ42"/>
  <c r="BY42" s="1"/>
  <c r="AQ44"/>
  <c r="BY44" s="1"/>
  <c r="AQ46"/>
  <c r="BY46" s="1"/>
  <c r="AQ48"/>
  <c r="BY48" s="1"/>
  <c r="AQ50"/>
  <c r="BY50" s="1"/>
  <c r="AQ52"/>
  <c r="BY52" s="1"/>
  <c r="AQ54"/>
  <c r="BY54" s="1"/>
  <c r="R27"/>
  <c r="AZ27" s="1"/>
  <c r="R29"/>
  <c r="AZ29" s="1"/>
  <c r="R31"/>
  <c r="AZ31" s="1"/>
  <c r="R33"/>
  <c r="AZ33" s="1"/>
  <c r="R35"/>
  <c r="AZ35" s="1"/>
  <c r="R37"/>
  <c r="AZ37" s="1"/>
  <c r="R39"/>
  <c r="AZ39" s="1"/>
  <c r="R41"/>
  <c r="AZ41" s="1"/>
  <c r="R26"/>
  <c r="AZ26" s="1"/>
  <c r="R28"/>
  <c r="AZ28" s="1"/>
  <c r="R30"/>
  <c r="AZ30" s="1"/>
  <c r="R32"/>
  <c r="AZ32" s="1"/>
  <c r="R34"/>
  <c r="AZ34" s="1"/>
  <c r="R36"/>
  <c r="AZ36" s="1"/>
  <c r="R38"/>
  <c r="AZ38" s="1"/>
  <c r="R40"/>
  <c r="AZ40" s="1"/>
  <c r="R42"/>
  <c r="AZ42" s="1"/>
  <c r="R44"/>
  <c r="AZ44" s="1"/>
  <c r="R46"/>
  <c r="AZ46" s="1"/>
  <c r="R48"/>
  <c r="AZ48" s="1"/>
  <c r="R50"/>
  <c r="AZ50" s="1"/>
  <c r="R52"/>
  <c r="AZ52" s="1"/>
  <c r="R54"/>
  <c r="AZ54" s="1"/>
  <c r="R25"/>
  <c r="AZ25" s="1"/>
  <c r="R43"/>
  <c r="AZ43" s="1"/>
  <c r="R45"/>
  <c r="AZ45" s="1"/>
  <c r="R47"/>
  <c r="AZ47" s="1"/>
  <c r="R49"/>
  <c r="AZ49" s="1"/>
  <c r="R51"/>
  <c r="AZ51" s="1"/>
  <c r="R53"/>
  <c r="AZ53" s="1"/>
  <c r="R55"/>
  <c r="AZ55" s="1"/>
  <c r="V27"/>
  <c r="BD27" s="1"/>
  <c r="V29"/>
  <c r="BD29" s="1"/>
  <c r="V31"/>
  <c r="BD31" s="1"/>
  <c r="V33"/>
  <c r="BD33" s="1"/>
  <c r="V35"/>
  <c r="BD35" s="1"/>
  <c r="V37"/>
  <c r="BD37" s="1"/>
  <c r="V39"/>
  <c r="BD39" s="1"/>
  <c r="V41"/>
  <c r="BD41" s="1"/>
  <c r="V26"/>
  <c r="BD26" s="1"/>
  <c r="V28"/>
  <c r="BD28" s="1"/>
  <c r="V30"/>
  <c r="BD30" s="1"/>
  <c r="V32"/>
  <c r="BD32" s="1"/>
  <c r="V34"/>
  <c r="BD34" s="1"/>
  <c r="V36"/>
  <c r="BD36" s="1"/>
  <c r="V38"/>
  <c r="BD38" s="1"/>
  <c r="V40"/>
  <c r="BD40" s="1"/>
  <c r="V42"/>
  <c r="BD42" s="1"/>
  <c r="V44"/>
  <c r="BD44" s="1"/>
  <c r="V46"/>
  <c r="BD46" s="1"/>
  <c r="V48"/>
  <c r="BD48" s="1"/>
  <c r="V50"/>
  <c r="BD50" s="1"/>
  <c r="V52"/>
  <c r="BD52" s="1"/>
  <c r="V54"/>
  <c r="BD54" s="1"/>
  <c r="V43"/>
  <c r="BD43" s="1"/>
  <c r="V45"/>
  <c r="BD45" s="1"/>
  <c r="V47"/>
  <c r="BD47" s="1"/>
  <c r="V49"/>
  <c r="BD49" s="1"/>
  <c r="V51"/>
  <c r="BD51" s="1"/>
  <c r="V53"/>
  <c r="BD53" s="1"/>
  <c r="V55"/>
  <c r="BD55" s="1"/>
  <c r="V25"/>
  <c r="BD25" s="1"/>
  <c r="Z27"/>
  <c r="BH27" s="1"/>
  <c r="Z29"/>
  <c r="BH29" s="1"/>
  <c r="Z31"/>
  <c r="BH31" s="1"/>
  <c r="Z33"/>
  <c r="BH33" s="1"/>
  <c r="Z35"/>
  <c r="BH35" s="1"/>
  <c r="Z37"/>
  <c r="BH37" s="1"/>
  <c r="Z39"/>
  <c r="BH39" s="1"/>
  <c r="Z41"/>
  <c r="BH41" s="1"/>
  <c r="Z26"/>
  <c r="BH26" s="1"/>
  <c r="Z28"/>
  <c r="BH28" s="1"/>
  <c r="Z30"/>
  <c r="BH30" s="1"/>
  <c r="Z32"/>
  <c r="BH32" s="1"/>
  <c r="Z34"/>
  <c r="BH34" s="1"/>
  <c r="Z36"/>
  <c r="BH36" s="1"/>
  <c r="Z38"/>
  <c r="BH38" s="1"/>
  <c r="Z40"/>
  <c r="BH40" s="1"/>
  <c r="Z42"/>
  <c r="BH42" s="1"/>
  <c r="Z44"/>
  <c r="BH44" s="1"/>
  <c r="Z46"/>
  <c r="BH46" s="1"/>
  <c r="Z48"/>
  <c r="BH48" s="1"/>
  <c r="Z50"/>
  <c r="BH50" s="1"/>
  <c r="Z52"/>
  <c r="BH52" s="1"/>
  <c r="Z54"/>
  <c r="BH54" s="1"/>
  <c r="Z43"/>
  <c r="BH43" s="1"/>
  <c r="Z45"/>
  <c r="BH45" s="1"/>
  <c r="Z47"/>
  <c r="BH47" s="1"/>
  <c r="Z49"/>
  <c r="BH49" s="1"/>
  <c r="Z51"/>
  <c r="BH51" s="1"/>
  <c r="Z53"/>
  <c r="BH53" s="1"/>
  <c r="Z55"/>
  <c r="BH55" s="1"/>
  <c r="Z25"/>
  <c r="BH25" s="1"/>
  <c r="AD27"/>
  <c r="BL27" s="1"/>
  <c r="AD29"/>
  <c r="BL29" s="1"/>
  <c r="AD31"/>
  <c r="BL31" s="1"/>
  <c r="AD33"/>
  <c r="BL33" s="1"/>
  <c r="AD35"/>
  <c r="BL35" s="1"/>
  <c r="AD37"/>
  <c r="BL37" s="1"/>
  <c r="AD39"/>
  <c r="BL39" s="1"/>
  <c r="AD41"/>
  <c r="BL41" s="1"/>
  <c r="AD26"/>
  <c r="BL26" s="1"/>
  <c r="AD28"/>
  <c r="BL28" s="1"/>
  <c r="AD30"/>
  <c r="BL30" s="1"/>
  <c r="AD32"/>
  <c r="BL32" s="1"/>
  <c r="AD34"/>
  <c r="BL34" s="1"/>
  <c r="AD36"/>
  <c r="BL36" s="1"/>
  <c r="AD38"/>
  <c r="BL38" s="1"/>
  <c r="AD40"/>
  <c r="BL40" s="1"/>
  <c r="AD42"/>
  <c r="BL42" s="1"/>
  <c r="AD44"/>
  <c r="BL44" s="1"/>
  <c r="AD46"/>
  <c r="BL46" s="1"/>
  <c r="AD48"/>
  <c r="BL48" s="1"/>
  <c r="AD50"/>
  <c r="BL50" s="1"/>
  <c r="AD52"/>
  <c r="BL52" s="1"/>
  <c r="AD54"/>
  <c r="BL54" s="1"/>
  <c r="AD25"/>
  <c r="BL25" s="1"/>
  <c r="AD43"/>
  <c r="BL43" s="1"/>
  <c r="AD45"/>
  <c r="BL45" s="1"/>
  <c r="AD47"/>
  <c r="BL47" s="1"/>
  <c r="AD49"/>
  <c r="BL49" s="1"/>
  <c r="AD51"/>
  <c r="BL51" s="1"/>
  <c r="AD53"/>
  <c r="BL53" s="1"/>
  <c r="AD55"/>
  <c r="BL55" s="1"/>
  <c r="AH27"/>
  <c r="BP27" s="1"/>
  <c r="AH29"/>
  <c r="BP29" s="1"/>
  <c r="AH31"/>
  <c r="BP31" s="1"/>
  <c r="AH33"/>
  <c r="BP33" s="1"/>
  <c r="AH35"/>
  <c r="BP35" s="1"/>
  <c r="AH37"/>
  <c r="BP37" s="1"/>
  <c r="AH39"/>
  <c r="BP39" s="1"/>
  <c r="AH41"/>
  <c r="BP41" s="1"/>
  <c r="AH26"/>
  <c r="BP26" s="1"/>
  <c r="AH28"/>
  <c r="BP28" s="1"/>
  <c r="AH30"/>
  <c r="BP30" s="1"/>
  <c r="AH32"/>
  <c r="BP32" s="1"/>
  <c r="AH34"/>
  <c r="BP34" s="1"/>
  <c r="AH36"/>
  <c r="BP36" s="1"/>
  <c r="AH38"/>
  <c r="BP38" s="1"/>
  <c r="AH40"/>
  <c r="BP40" s="1"/>
  <c r="AH42"/>
  <c r="BP42" s="1"/>
  <c r="AH44"/>
  <c r="BP44" s="1"/>
  <c r="AH46"/>
  <c r="BP46" s="1"/>
  <c r="AH48"/>
  <c r="BP48" s="1"/>
  <c r="AH50"/>
  <c r="BP50" s="1"/>
  <c r="AH52"/>
  <c r="BP52" s="1"/>
  <c r="AH54"/>
  <c r="BP54" s="1"/>
  <c r="AH43"/>
  <c r="BP43" s="1"/>
  <c r="AH45"/>
  <c r="BP45" s="1"/>
  <c r="AH47"/>
  <c r="BP47" s="1"/>
  <c r="AH49"/>
  <c r="BP49" s="1"/>
  <c r="AH51"/>
  <c r="BP51" s="1"/>
  <c r="AH53"/>
  <c r="BP53" s="1"/>
  <c r="AH55"/>
  <c r="BP55" s="1"/>
  <c r="AH25"/>
  <c r="BP25" s="1"/>
  <c r="AL27"/>
  <c r="BT27" s="1"/>
  <c r="AL29"/>
  <c r="BT29" s="1"/>
  <c r="AL31"/>
  <c r="BT31" s="1"/>
  <c r="AL33"/>
  <c r="BT33" s="1"/>
  <c r="AL35"/>
  <c r="BT35" s="1"/>
  <c r="AL37"/>
  <c r="BT37" s="1"/>
  <c r="AL39"/>
  <c r="BT39" s="1"/>
  <c r="AL26"/>
  <c r="BT26" s="1"/>
  <c r="AL28"/>
  <c r="BT28" s="1"/>
  <c r="AL30"/>
  <c r="BT30" s="1"/>
  <c r="AL32"/>
  <c r="BT32" s="1"/>
  <c r="AL34"/>
  <c r="BT34" s="1"/>
  <c r="AL36"/>
  <c r="BT36" s="1"/>
  <c r="AL38"/>
  <c r="BT38" s="1"/>
  <c r="AL42"/>
  <c r="BT42" s="1"/>
  <c r="AL44"/>
  <c r="BT44" s="1"/>
  <c r="AL46"/>
  <c r="BT46" s="1"/>
  <c r="AL48"/>
  <c r="BT48" s="1"/>
  <c r="AL50"/>
  <c r="BT50" s="1"/>
  <c r="AL52"/>
  <c r="BT52" s="1"/>
  <c r="AL54"/>
  <c r="BT54" s="1"/>
  <c r="AL40"/>
  <c r="BT40" s="1"/>
  <c r="AL41"/>
  <c r="BT41" s="1"/>
  <c r="AL43"/>
  <c r="BT43" s="1"/>
  <c r="AL45"/>
  <c r="BT45" s="1"/>
  <c r="AL47"/>
  <c r="BT47" s="1"/>
  <c r="AL49"/>
  <c r="BT49" s="1"/>
  <c r="AL51"/>
  <c r="BT51" s="1"/>
  <c r="AL53"/>
  <c r="BT53" s="1"/>
  <c r="AL55"/>
  <c r="BT55" s="1"/>
  <c r="AL25"/>
  <c r="BT25" s="1"/>
  <c r="AP27"/>
  <c r="BX27" s="1"/>
  <c r="AP29"/>
  <c r="BX29" s="1"/>
  <c r="AP31"/>
  <c r="BX31" s="1"/>
  <c r="AP33"/>
  <c r="BX33" s="1"/>
  <c r="AP35"/>
  <c r="BX35" s="1"/>
  <c r="AP37"/>
  <c r="BX37" s="1"/>
  <c r="AP39"/>
  <c r="BX39" s="1"/>
  <c r="AP26"/>
  <c r="BX26" s="1"/>
  <c r="AP28"/>
  <c r="BX28" s="1"/>
  <c r="AP30"/>
  <c r="BX30" s="1"/>
  <c r="AP32"/>
  <c r="BX32" s="1"/>
  <c r="AP34"/>
  <c r="BX34" s="1"/>
  <c r="AP36"/>
  <c r="BX36" s="1"/>
  <c r="AP38"/>
  <c r="BX38" s="1"/>
  <c r="AP42"/>
  <c r="BX42" s="1"/>
  <c r="AP44"/>
  <c r="BX44" s="1"/>
  <c r="AP46"/>
  <c r="BX46" s="1"/>
  <c r="AP48"/>
  <c r="BX48" s="1"/>
  <c r="AP50"/>
  <c r="BX50" s="1"/>
  <c r="AP52"/>
  <c r="BX52" s="1"/>
  <c r="AP54"/>
  <c r="BX54" s="1"/>
  <c r="AP25"/>
  <c r="BX25" s="1"/>
  <c r="AP40"/>
  <c r="BX40" s="1"/>
  <c r="AP41"/>
  <c r="BX41" s="1"/>
  <c r="AP43"/>
  <c r="BX43" s="1"/>
  <c r="AP45"/>
  <c r="BX45" s="1"/>
  <c r="AP47"/>
  <c r="BX47" s="1"/>
  <c r="AP49"/>
  <c r="BX49" s="1"/>
  <c r="AP51"/>
  <c r="BX51" s="1"/>
  <c r="AP53"/>
  <c r="BX53" s="1"/>
  <c r="AP55"/>
  <c r="BX55" s="1"/>
  <c r="AT27"/>
  <c r="CB27" s="1"/>
  <c r="AT29"/>
  <c r="CB29" s="1"/>
  <c r="AT31"/>
  <c r="CB31" s="1"/>
  <c r="AT33"/>
  <c r="CB33" s="1"/>
  <c r="AT35"/>
  <c r="CB35" s="1"/>
  <c r="AT37"/>
  <c r="CB37" s="1"/>
  <c r="AT39"/>
  <c r="CB39" s="1"/>
  <c r="AT26"/>
  <c r="CB26" s="1"/>
  <c r="AT28"/>
  <c r="CB28" s="1"/>
  <c r="AT30"/>
  <c r="CB30" s="1"/>
  <c r="AT32"/>
  <c r="CB32" s="1"/>
  <c r="AT34"/>
  <c r="CB34" s="1"/>
  <c r="AT36"/>
  <c r="CB36" s="1"/>
  <c r="AT38"/>
  <c r="CB38" s="1"/>
  <c r="AT42"/>
  <c r="CB42" s="1"/>
  <c r="AT44"/>
  <c r="CB44" s="1"/>
  <c r="AT46"/>
  <c r="CB46" s="1"/>
  <c r="AT48"/>
  <c r="CB48" s="1"/>
  <c r="AT50"/>
  <c r="CB50" s="1"/>
  <c r="AT52"/>
  <c r="CB52" s="1"/>
  <c r="AT54"/>
  <c r="CB54" s="1"/>
  <c r="AT25"/>
  <c r="CB25" s="1"/>
  <c r="AT40"/>
  <c r="CB40" s="1"/>
  <c r="AT41"/>
  <c r="CB41" s="1"/>
  <c r="AT43"/>
  <c r="CB43" s="1"/>
  <c r="AT45"/>
  <c r="CB45" s="1"/>
  <c r="AT47"/>
  <c r="CB47" s="1"/>
  <c r="AT49"/>
  <c r="CB49" s="1"/>
  <c r="AT51"/>
  <c r="CB51" s="1"/>
  <c r="AT53"/>
  <c r="CB53" s="1"/>
  <c r="AT55"/>
  <c r="CB55" s="1"/>
  <c r="P27"/>
  <c r="P33"/>
  <c r="P35"/>
  <c r="P41"/>
  <c r="P43"/>
  <c r="P49"/>
  <c r="P51"/>
  <c r="P28"/>
  <c r="P30"/>
  <c r="P36"/>
  <c r="P38"/>
  <c r="P44"/>
  <c r="P46"/>
  <c r="P52"/>
  <c r="P54"/>
  <c r="U26"/>
  <c r="BC26" s="1"/>
  <c r="U28"/>
  <c r="BC28" s="1"/>
  <c r="U30"/>
  <c r="BC30" s="1"/>
  <c r="U32"/>
  <c r="BC32" s="1"/>
  <c r="U34"/>
  <c r="BC34" s="1"/>
  <c r="U36"/>
  <c r="BC36" s="1"/>
  <c r="U38"/>
  <c r="BC38" s="1"/>
  <c r="U40"/>
  <c r="BC40" s="1"/>
  <c r="U27"/>
  <c r="BC27" s="1"/>
  <c r="U29"/>
  <c r="BC29" s="1"/>
  <c r="U31"/>
  <c r="BC31" s="1"/>
  <c r="U33"/>
  <c r="BC33" s="1"/>
  <c r="U35"/>
  <c r="BC35" s="1"/>
  <c r="U37"/>
  <c r="BC37" s="1"/>
  <c r="U39"/>
  <c r="BC39" s="1"/>
  <c r="U43"/>
  <c r="BC43" s="1"/>
  <c r="U45"/>
  <c r="BC45" s="1"/>
  <c r="U47"/>
  <c r="BC47" s="1"/>
  <c r="U49"/>
  <c r="BC49" s="1"/>
  <c r="U51"/>
  <c r="BC51" s="1"/>
  <c r="U53"/>
  <c r="BC53" s="1"/>
  <c r="U55"/>
  <c r="BC55" s="1"/>
  <c r="U25"/>
  <c r="BC25" s="1"/>
  <c r="U41"/>
  <c r="BC41" s="1"/>
  <c r="U42"/>
  <c r="BC42" s="1"/>
  <c r="U44"/>
  <c r="BC44" s="1"/>
  <c r="U46"/>
  <c r="BC46" s="1"/>
  <c r="U48"/>
  <c r="BC48" s="1"/>
  <c r="U50"/>
  <c r="BC50" s="1"/>
  <c r="U52"/>
  <c r="BC52" s="1"/>
  <c r="U54"/>
  <c r="BC54" s="1"/>
  <c r="Y26"/>
  <c r="BG26" s="1"/>
  <c r="Y28"/>
  <c r="BG28" s="1"/>
  <c r="Y30"/>
  <c r="BG30" s="1"/>
  <c r="Y32"/>
  <c r="BG32" s="1"/>
  <c r="Y34"/>
  <c r="BG34" s="1"/>
  <c r="Y36"/>
  <c r="BG36" s="1"/>
  <c r="Y38"/>
  <c r="BG38" s="1"/>
  <c r="Y40"/>
  <c r="BG40" s="1"/>
  <c r="Y27"/>
  <c r="BG27" s="1"/>
  <c r="Y29"/>
  <c r="BG29" s="1"/>
  <c r="Y31"/>
  <c r="BG31" s="1"/>
  <c r="Y33"/>
  <c r="BG33" s="1"/>
  <c r="Y35"/>
  <c r="BG35" s="1"/>
  <c r="Y37"/>
  <c r="BG37" s="1"/>
  <c r="Y39"/>
  <c r="BG39" s="1"/>
  <c r="Y43"/>
  <c r="BG43" s="1"/>
  <c r="Y45"/>
  <c r="BG45" s="1"/>
  <c r="Y47"/>
  <c r="BG47" s="1"/>
  <c r="Y49"/>
  <c r="BG49" s="1"/>
  <c r="Y51"/>
  <c r="BG51" s="1"/>
  <c r="Y53"/>
  <c r="BG53" s="1"/>
  <c r="Y55"/>
  <c r="BG55" s="1"/>
  <c r="Y25"/>
  <c r="BG25" s="1"/>
  <c r="Y41"/>
  <c r="BG41" s="1"/>
  <c r="Y42"/>
  <c r="BG42" s="1"/>
  <c r="Y44"/>
  <c r="BG44" s="1"/>
  <c r="Y46"/>
  <c r="BG46" s="1"/>
  <c r="Y48"/>
  <c r="BG48" s="1"/>
  <c r="Y50"/>
  <c r="BG50" s="1"/>
  <c r="Y52"/>
  <c r="BG52" s="1"/>
  <c r="Y54"/>
  <c r="BG54" s="1"/>
  <c r="AC26"/>
  <c r="BK26" s="1"/>
  <c r="AC28"/>
  <c r="BK28" s="1"/>
  <c r="AC30"/>
  <c r="BK30" s="1"/>
  <c r="AC32"/>
  <c r="BK32" s="1"/>
  <c r="AC34"/>
  <c r="BK34" s="1"/>
  <c r="AC36"/>
  <c r="BK36" s="1"/>
  <c r="AC38"/>
  <c r="BK38" s="1"/>
  <c r="AC40"/>
  <c r="BK40" s="1"/>
  <c r="AC27"/>
  <c r="BK27" s="1"/>
  <c r="AC29"/>
  <c r="BK29" s="1"/>
  <c r="AC31"/>
  <c r="BK31" s="1"/>
  <c r="AC33"/>
  <c r="BK33" s="1"/>
  <c r="AC35"/>
  <c r="BK35" s="1"/>
  <c r="AC37"/>
  <c r="BK37" s="1"/>
  <c r="AC39"/>
  <c r="BK39" s="1"/>
  <c r="AC43"/>
  <c r="BK43" s="1"/>
  <c r="AC45"/>
  <c r="BK45" s="1"/>
  <c r="AC47"/>
  <c r="BK47" s="1"/>
  <c r="AC49"/>
  <c r="BK49" s="1"/>
  <c r="AC51"/>
  <c r="BK51" s="1"/>
  <c r="AC53"/>
  <c r="BK53" s="1"/>
  <c r="AC55"/>
  <c r="BK55" s="1"/>
  <c r="AC25"/>
  <c r="BK25" s="1"/>
  <c r="AC41"/>
  <c r="BK41" s="1"/>
  <c r="AC42"/>
  <c r="BK42" s="1"/>
  <c r="AC44"/>
  <c r="BK44" s="1"/>
  <c r="AC46"/>
  <c r="BK46" s="1"/>
  <c r="AC48"/>
  <c r="BK48" s="1"/>
  <c r="AC50"/>
  <c r="BK50" s="1"/>
  <c r="AC52"/>
  <c r="BK52" s="1"/>
  <c r="AC54"/>
  <c r="BK54" s="1"/>
  <c r="AG26"/>
  <c r="BO26" s="1"/>
  <c r="AG28"/>
  <c r="BO28" s="1"/>
  <c r="AG30"/>
  <c r="BO30" s="1"/>
  <c r="AG32"/>
  <c r="BO32" s="1"/>
  <c r="AG34"/>
  <c r="BO34" s="1"/>
  <c r="AG36"/>
  <c r="BO36" s="1"/>
  <c r="AG38"/>
  <c r="BO38" s="1"/>
  <c r="AG40"/>
  <c r="BO40" s="1"/>
  <c r="AG27"/>
  <c r="BO27" s="1"/>
  <c r="AG29"/>
  <c r="BO29" s="1"/>
  <c r="AG31"/>
  <c r="BO31" s="1"/>
  <c r="AG33"/>
  <c r="BO33" s="1"/>
  <c r="AG35"/>
  <c r="BO35" s="1"/>
  <c r="AG37"/>
  <c r="BO37" s="1"/>
  <c r="AG39"/>
  <c r="BO39" s="1"/>
  <c r="AG43"/>
  <c r="BO43" s="1"/>
  <c r="AG45"/>
  <c r="BO45" s="1"/>
  <c r="AG47"/>
  <c r="BO47" s="1"/>
  <c r="AG49"/>
  <c r="BO49" s="1"/>
  <c r="AG51"/>
  <c r="BO51" s="1"/>
  <c r="AG53"/>
  <c r="BO53" s="1"/>
  <c r="AG55"/>
  <c r="BO55" s="1"/>
  <c r="AG25"/>
  <c r="BO25" s="1"/>
  <c r="AG41"/>
  <c r="BO41" s="1"/>
  <c r="AG42"/>
  <c r="BO42" s="1"/>
  <c r="AG44"/>
  <c r="BO44" s="1"/>
  <c r="AG46"/>
  <c r="BO46" s="1"/>
  <c r="AG48"/>
  <c r="BO48" s="1"/>
  <c r="AG50"/>
  <c r="BO50" s="1"/>
  <c r="AG52"/>
  <c r="BO52" s="1"/>
  <c r="AG54"/>
  <c r="BO54" s="1"/>
  <c r="AK26"/>
  <c r="BS26" s="1"/>
  <c r="AK28"/>
  <c r="BS28" s="1"/>
  <c r="AK30"/>
  <c r="BS30" s="1"/>
  <c r="AK32"/>
  <c r="BS32" s="1"/>
  <c r="AK34"/>
  <c r="BS34" s="1"/>
  <c r="AK36"/>
  <c r="BS36" s="1"/>
  <c r="AK38"/>
  <c r="BS38" s="1"/>
  <c r="AK40"/>
  <c r="BS40" s="1"/>
  <c r="AK27"/>
  <c r="BS27" s="1"/>
  <c r="AK29"/>
  <c r="BS29" s="1"/>
  <c r="AK31"/>
  <c r="BS31" s="1"/>
  <c r="AK33"/>
  <c r="BS33" s="1"/>
  <c r="AK35"/>
  <c r="BS35" s="1"/>
  <c r="AK37"/>
  <c r="BS37" s="1"/>
  <c r="AK39"/>
  <c r="BS39" s="1"/>
  <c r="AK41"/>
  <c r="BS41" s="1"/>
  <c r="AK43"/>
  <c r="BS43" s="1"/>
  <c r="AK45"/>
  <c r="BS45" s="1"/>
  <c r="AK47"/>
  <c r="BS47" s="1"/>
  <c r="AK49"/>
  <c r="BS49" s="1"/>
  <c r="AK51"/>
  <c r="BS51" s="1"/>
  <c r="AK53"/>
  <c r="BS53" s="1"/>
  <c r="AK55"/>
  <c r="BS55" s="1"/>
  <c r="AK25"/>
  <c r="BS25" s="1"/>
  <c r="AK42"/>
  <c r="BS42" s="1"/>
  <c r="AK44"/>
  <c r="BS44" s="1"/>
  <c r="AK46"/>
  <c r="BS46" s="1"/>
  <c r="AK48"/>
  <c r="BS48" s="1"/>
  <c r="AK50"/>
  <c r="BS50" s="1"/>
  <c r="AK52"/>
  <c r="BS52" s="1"/>
  <c r="AK54"/>
  <c r="BS54" s="1"/>
  <c r="AO26"/>
  <c r="BW26" s="1"/>
  <c r="AO28"/>
  <c r="BW28" s="1"/>
  <c r="AO30"/>
  <c r="BW30" s="1"/>
  <c r="AO32"/>
  <c r="BW32" s="1"/>
  <c r="AO34"/>
  <c r="BW34" s="1"/>
  <c r="AO36"/>
  <c r="BW36" s="1"/>
  <c r="AO38"/>
  <c r="BW38" s="1"/>
  <c r="AO40"/>
  <c r="BW40" s="1"/>
  <c r="AO27"/>
  <c r="BW27" s="1"/>
  <c r="AO29"/>
  <c r="BW29" s="1"/>
  <c r="AO31"/>
  <c r="BW31" s="1"/>
  <c r="AO33"/>
  <c r="BW33" s="1"/>
  <c r="AO35"/>
  <c r="BW35" s="1"/>
  <c r="AO37"/>
  <c r="BW37" s="1"/>
  <c r="AO39"/>
  <c r="BW39" s="1"/>
  <c r="AO41"/>
  <c r="BW41" s="1"/>
  <c r="AO43"/>
  <c r="BW43" s="1"/>
  <c r="AO45"/>
  <c r="BW45" s="1"/>
  <c r="AO47"/>
  <c r="BW47" s="1"/>
  <c r="AO49"/>
  <c r="BW49" s="1"/>
  <c r="AO51"/>
  <c r="BW51" s="1"/>
  <c r="AO53"/>
  <c r="BW53" s="1"/>
  <c r="AO55"/>
  <c r="BW55" s="1"/>
  <c r="AO25"/>
  <c r="BW25" s="1"/>
  <c r="AO42"/>
  <c r="BW42" s="1"/>
  <c r="AO44"/>
  <c r="BW44" s="1"/>
  <c r="AO46"/>
  <c r="BW46" s="1"/>
  <c r="AO48"/>
  <c r="BW48" s="1"/>
  <c r="AO50"/>
  <c r="BW50" s="1"/>
  <c r="AO52"/>
  <c r="BW52" s="1"/>
  <c r="AO54"/>
  <c r="BW54" s="1"/>
  <c r="AS26"/>
  <c r="CA26" s="1"/>
  <c r="AS28"/>
  <c r="CA28" s="1"/>
  <c r="AS30"/>
  <c r="CA30" s="1"/>
  <c r="AS32"/>
  <c r="CA32" s="1"/>
  <c r="AS34"/>
  <c r="CA34" s="1"/>
  <c r="AS36"/>
  <c r="CA36" s="1"/>
  <c r="AS38"/>
  <c r="CA38" s="1"/>
  <c r="AS40"/>
  <c r="CA40" s="1"/>
  <c r="AS27"/>
  <c r="CA27" s="1"/>
  <c r="AS29"/>
  <c r="CA29" s="1"/>
  <c r="AS31"/>
  <c r="CA31" s="1"/>
  <c r="AS33"/>
  <c r="CA33" s="1"/>
  <c r="AS35"/>
  <c r="CA35" s="1"/>
  <c r="AS37"/>
  <c r="CA37" s="1"/>
  <c r="AS39"/>
  <c r="CA39" s="1"/>
  <c r="AS41"/>
  <c r="CA41" s="1"/>
  <c r="AS43"/>
  <c r="CA43" s="1"/>
  <c r="AS45"/>
  <c r="CA45" s="1"/>
  <c r="AS47"/>
  <c r="CA47" s="1"/>
  <c r="AS49"/>
  <c r="CA49" s="1"/>
  <c r="AS51"/>
  <c r="CA51" s="1"/>
  <c r="AS53"/>
  <c r="CA53" s="1"/>
  <c r="AS55"/>
  <c r="CA55" s="1"/>
  <c r="AS25"/>
  <c r="CA25" s="1"/>
  <c r="AS42"/>
  <c r="CA42" s="1"/>
  <c r="AS44"/>
  <c r="CA44" s="1"/>
  <c r="AS46"/>
  <c r="CA46" s="1"/>
  <c r="AS48"/>
  <c r="CA48" s="1"/>
  <c r="AS50"/>
  <c r="CA50" s="1"/>
  <c r="AS52"/>
  <c r="CA52" s="1"/>
  <c r="AS54"/>
  <c r="CA54" s="1"/>
  <c r="T27"/>
  <c r="BB27" s="1"/>
  <c r="T29"/>
  <c r="BB29" s="1"/>
  <c r="T31"/>
  <c r="BB31" s="1"/>
  <c r="T33"/>
  <c r="BB33" s="1"/>
  <c r="T35"/>
  <c r="BB35" s="1"/>
  <c r="T37"/>
  <c r="BB37" s="1"/>
  <c r="T39"/>
  <c r="BB39" s="1"/>
  <c r="T41"/>
  <c r="BB41" s="1"/>
  <c r="T26"/>
  <c r="BB26" s="1"/>
  <c r="T28"/>
  <c r="BB28" s="1"/>
  <c r="T30"/>
  <c r="BB30" s="1"/>
  <c r="T32"/>
  <c r="BB32" s="1"/>
  <c r="T34"/>
  <c r="BB34" s="1"/>
  <c r="T36"/>
  <c r="BB36" s="1"/>
  <c r="T38"/>
  <c r="BB38" s="1"/>
  <c r="T40"/>
  <c r="BB40" s="1"/>
  <c r="T42"/>
  <c r="BB42" s="1"/>
  <c r="T44"/>
  <c r="BB44" s="1"/>
  <c r="T46"/>
  <c r="BB46" s="1"/>
  <c r="T48"/>
  <c r="BB48" s="1"/>
  <c r="T50"/>
  <c r="BB50" s="1"/>
  <c r="T52"/>
  <c r="BB52" s="1"/>
  <c r="T54"/>
  <c r="BB54" s="1"/>
  <c r="T43"/>
  <c r="BB43" s="1"/>
  <c r="T45"/>
  <c r="BB45" s="1"/>
  <c r="T47"/>
  <c r="BB47" s="1"/>
  <c r="T49"/>
  <c r="BB49" s="1"/>
  <c r="T51"/>
  <c r="BB51" s="1"/>
  <c r="T53"/>
  <c r="BB53" s="1"/>
  <c r="T55"/>
  <c r="BB55" s="1"/>
  <c r="T25"/>
  <c r="BB25" s="1"/>
  <c r="X27"/>
  <c r="BF27" s="1"/>
  <c r="X29"/>
  <c r="BF29" s="1"/>
  <c r="X31"/>
  <c r="BF31" s="1"/>
  <c r="X33"/>
  <c r="BF33" s="1"/>
  <c r="X35"/>
  <c r="BF35" s="1"/>
  <c r="X37"/>
  <c r="BF37" s="1"/>
  <c r="X39"/>
  <c r="BF39" s="1"/>
  <c r="X41"/>
  <c r="BF41" s="1"/>
  <c r="X26"/>
  <c r="BF26" s="1"/>
  <c r="X28"/>
  <c r="BF28" s="1"/>
  <c r="X30"/>
  <c r="BF30" s="1"/>
  <c r="X32"/>
  <c r="BF32" s="1"/>
  <c r="X34"/>
  <c r="BF34" s="1"/>
  <c r="X36"/>
  <c r="BF36" s="1"/>
  <c r="X38"/>
  <c r="BF38" s="1"/>
  <c r="X40"/>
  <c r="BF40" s="1"/>
  <c r="X42"/>
  <c r="BF42" s="1"/>
  <c r="X44"/>
  <c r="BF44" s="1"/>
  <c r="X46"/>
  <c r="BF46" s="1"/>
  <c r="X48"/>
  <c r="BF48" s="1"/>
  <c r="X50"/>
  <c r="BF50" s="1"/>
  <c r="X52"/>
  <c r="BF52" s="1"/>
  <c r="X54"/>
  <c r="BF54" s="1"/>
  <c r="X43"/>
  <c r="BF43" s="1"/>
  <c r="X45"/>
  <c r="BF45" s="1"/>
  <c r="X47"/>
  <c r="BF47" s="1"/>
  <c r="X49"/>
  <c r="BF49" s="1"/>
  <c r="X51"/>
  <c r="BF51" s="1"/>
  <c r="X53"/>
  <c r="BF53" s="1"/>
  <c r="X55"/>
  <c r="BF55" s="1"/>
  <c r="X25"/>
  <c r="BF25" s="1"/>
  <c r="AB27"/>
  <c r="BJ27" s="1"/>
  <c r="AB29"/>
  <c r="BJ29" s="1"/>
  <c r="AB31"/>
  <c r="BJ31" s="1"/>
  <c r="AB33"/>
  <c r="BJ33" s="1"/>
  <c r="AB35"/>
  <c r="BJ35" s="1"/>
  <c r="AB37"/>
  <c r="BJ37" s="1"/>
  <c r="AB39"/>
  <c r="BJ39" s="1"/>
  <c r="AB41"/>
  <c r="BJ41" s="1"/>
  <c r="AB26"/>
  <c r="BJ26" s="1"/>
  <c r="AB28"/>
  <c r="BJ28" s="1"/>
  <c r="AB30"/>
  <c r="BJ30" s="1"/>
  <c r="AB32"/>
  <c r="BJ32" s="1"/>
  <c r="AB34"/>
  <c r="BJ34" s="1"/>
  <c r="AB36"/>
  <c r="BJ36" s="1"/>
  <c r="AB38"/>
  <c r="BJ38" s="1"/>
  <c r="AB40"/>
  <c r="BJ40" s="1"/>
  <c r="AB42"/>
  <c r="BJ42" s="1"/>
  <c r="AB44"/>
  <c r="BJ44" s="1"/>
  <c r="AB46"/>
  <c r="BJ46" s="1"/>
  <c r="AB48"/>
  <c r="BJ48" s="1"/>
  <c r="AB50"/>
  <c r="BJ50" s="1"/>
  <c r="AB52"/>
  <c r="BJ52" s="1"/>
  <c r="AB54"/>
  <c r="BJ54" s="1"/>
  <c r="AB43"/>
  <c r="BJ43" s="1"/>
  <c r="AB45"/>
  <c r="BJ45" s="1"/>
  <c r="AB47"/>
  <c r="BJ47" s="1"/>
  <c r="AB49"/>
  <c r="BJ49" s="1"/>
  <c r="AB51"/>
  <c r="BJ51" s="1"/>
  <c r="AB53"/>
  <c r="BJ53" s="1"/>
  <c r="AB55"/>
  <c r="BJ55" s="1"/>
  <c r="AB25"/>
  <c r="BJ25" s="1"/>
  <c r="AF27"/>
  <c r="BN27" s="1"/>
  <c r="AF29"/>
  <c r="BN29" s="1"/>
  <c r="AF31"/>
  <c r="BN31" s="1"/>
  <c r="AF33"/>
  <c r="BN33" s="1"/>
  <c r="AF35"/>
  <c r="BN35" s="1"/>
  <c r="AF37"/>
  <c r="BN37" s="1"/>
  <c r="AF39"/>
  <c r="BN39" s="1"/>
  <c r="AF41"/>
  <c r="BN41" s="1"/>
  <c r="AF26"/>
  <c r="BN26" s="1"/>
  <c r="AF28"/>
  <c r="BN28" s="1"/>
  <c r="AF30"/>
  <c r="BN30" s="1"/>
  <c r="AF32"/>
  <c r="BN32" s="1"/>
  <c r="AF34"/>
  <c r="BN34" s="1"/>
  <c r="AF36"/>
  <c r="BN36" s="1"/>
  <c r="AF38"/>
  <c r="BN38" s="1"/>
  <c r="AF40"/>
  <c r="BN40" s="1"/>
  <c r="AF42"/>
  <c r="BN42" s="1"/>
  <c r="AF44"/>
  <c r="BN44" s="1"/>
  <c r="AF46"/>
  <c r="BN46" s="1"/>
  <c r="AF48"/>
  <c r="BN48" s="1"/>
  <c r="AF50"/>
  <c r="BN50" s="1"/>
  <c r="AF52"/>
  <c r="BN52" s="1"/>
  <c r="AF54"/>
  <c r="BN54" s="1"/>
  <c r="AF43"/>
  <c r="BN43" s="1"/>
  <c r="AF45"/>
  <c r="BN45" s="1"/>
  <c r="AF47"/>
  <c r="BN47" s="1"/>
  <c r="AF49"/>
  <c r="BN49" s="1"/>
  <c r="AF51"/>
  <c r="BN51" s="1"/>
  <c r="AF53"/>
  <c r="BN53" s="1"/>
  <c r="AF55"/>
  <c r="BN55" s="1"/>
  <c r="AF25"/>
  <c r="BN25" s="1"/>
  <c r="AJ27"/>
  <c r="BR27" s="1"/>
  <c r="AJ29"/>
  <c r="BR29" s="1"/>
  <c r="AJ31"/>
  <c r="BR31" s="1"/>
  <c r="AJ33"/>
  <c r="BR33" s="1"/>
  <c r="AJ35"/>
  <c r="BR35" s="1"/>
  <c r="AJ37"/>
  <c r="BR37" s="1"/>
  <c r="AJ39"/>
  <c r="BR39" s="1"/>
  <c r="AJ26"/>
  <c r="BR26" s="1"/>
  <c r="AJ28"/>
  <c r="BR28" s="1"/>
  <c r="AJ30"/>
  <c r="BR30" s="1"/>
  <c r="AJ32"/>
  <c r="BR32" s="1"/>
  <c r="AJ34"/>
  <c r="BR34" s="1"/>
  <c r="AJ36"/>
  <c r="BR36" s="1"/>
  <c r="AJ38"/>
  <c r="BR38" s="1"/>
  <c r="AJ40"/>
  <c r="BR40" s="1"/>
  <c r="AJ42"/>
  <c r="BR42" s="1"/>
  <c r="AJ44"/>
  <c r="BR44" s="1"/>
  <c r="AJ46"/>
  <c r="BR46" s="1"/>
  <c r="AJ48"/>
  <c r="BR48" s="1"/>
  <c r="AJ50"/>
  <c r="BR50" s="1"/>
  <c r="AJ52"/>
  <c r="BR52" s="1"/>
  <c r="AJ54"/>
  <c r="BR54" s="1"/>
  <c r="AJ25"/>
  <c r="BR25" s="1"/>
  <c r="AJ41"/>
  <c r="BR41" s="1"/>
  <c r="AJ43"/>
  <c r="BR43" s="1"/>
  <c r="AJ45"/>
  <c r="BR45" s="1"/>
  <c r="AJ47"/>
  <c r="BR47" s="1"/>
  <c r="AJ49"/>
  <c r="BR49" s="1"/>
  <c r="AJ51"/>
  <c r="BR51" s="1"/>
  <c r="AJ53"/>
  <c r="BR53" s="1"/>
  <c r="AJ55"/>
  <c r="BR55" s="1"/>
  <c r="AN27"/>
  <c r="BV27" s="1"/>
  <c r="AN29"/>
  <c r="BV29" s="1"/>
  <c r="AN31"/>
  <c r="BV31" s="1"/>
  <c r="AN33"/>
  <c r="BV33" s="1"/>
  <c r="AN35"/>
  <c r="BV35" s="1"/>
  <c r="AN37"/>
  <c r="BV37" s="1"/>
  <c r="AN39"/>
  <c r="BV39" s="1"/>
  <c r="AN26"/>
  <c r="BV26" s="1"/>
  <c r="AN28"/>
  <c r="BV28" s="1"/>
  <c r="AN30"/>
  <c r="BV30" s="1"/>
  <c r="AN32"/>
  <c r="BV32" s="1"/>
  <c r="AN34"/>
  <c r="BV34" s="1"/>
  <c r="AN36"/>
  <c r="BV36" s="1"/>
  <c r="AN38"/>
  <c r="BV38" s="1"/>
  <c r="AN40"/>
  <c r="BV40" s="1"/>
  <c r="AN42"/>
  <c r="BV42" s="1"/>
  <c r="AN44"/>
  <c r="BV44" s="1"/>
  <c r="AN46"/>
  <c r="BV46" s="1"/>
  <c r="AN48"/>
  <c r="BV48" s="1"/>
  <c r="AN50"/>
  <c r="BV50" s="1"/>
  <c r="AN52"/>
  <c r="BV52" s="1"/>
  <c r="AN54"/>
  <c r="BV54" s="1"/>
  <c r="AN25"/>
  <c r="BV25" s="1"/>
  <c r="AN41"/>
  <c r="BV41" s="1"/>
  <c r="AN43"/>
  <c r="BV43" s="1"/>
  <c r="AN45"/>
  <c r="BV45" s="1"/>
  <c r="AN47"/>
  <c r="BV47" s="1"/>
  <c r="AN49"/>
  <c r="BV49" s="1"/>
  <c r="AN51"/>
  <c r="BV51" s="1"/>
  <c r="AN53"/>
  <c r="BV53" s="1"/>
  <c r="AN55"/>
  <c r="BV55" s="1"/>
  <c r="AR27"/>
  <c r="BZ27" s="1"/>
  <c r="AR29"/>
  <c r="BZ29" s="1"/>
  <c r="AR31"/>
  <c r="BZ31" s="1"/>
  <c r="AR33"/>
  <c r="BZ33" s="1"/>
  <c r="AR35"/>
  <c r="BZ35" s="1"/>
  <c r="AR37"/>
  <c r="BZ37" s="1"/>
  <c r="AR39"/>
  <c r="BZ39" s="1"/>
  <c r="AR26"/>
  <c r="BZ26" s="1"/>
  <c r="AR28"/>
  <c r="BZ28" s="1"/>
  <c r="AR30"/>
  <c r="BZ30" s="1"/>
  <c r="AR32"/>
  <c r="BZ32" s="1"/>
  <c r="AR34"/>
  <c r="BZ34" s="1"/>
  <c r="AR36"/>
  <c r="BZ36" s="1"/>
  <c r="AR38"/>
  <c r="BZ38" s="1"/>
  <c r="AR40"/>
  <c r="BZ40" s="1"/>
  <c r="AR42"/>
  <c r="BZ42" s="1"/>
  <c r="AR44"/>
  <c r="BZ44" s="1"/>
  <c r="AR46"/>
  <c r="BZ46" s="1"/>
  <c r="AR48"/>
  <c r="BZ48" s="1"/>
  <c r="AR50"/>
  <c r="BZ50" s="1"/>
  <c r="AR52"/>
  <c r="BZ52" s="1"/>
  <c r="AR54"/>
  <c r="BZ54" s="1"/>
  <c r="AR41"/>
  <c r="BZ41" s="1"/>
  <c r="AR43"/>
  <c r="BZ43" s="1"/>
  <c r="AR45"/>
  <c r="BZ45" s="1"/>
  <c r="AR47"/>
  <c r="BZ47" s="1"/>
  <c r="AR49"/>
  <c r="BZ49" s="1"/>
  <c r="AR51"/>
  <c r="BZ51" s="1"/>
  <c r="AR53"/>
  <c r="BZ53" s="1"/>
  <c r="AR55"/>
  <c r="BZ55" s="1"/>
  <c r="AR25"/>
  <c r="BZ25" s="1"/>
  <c r="M26"/>
  <c r="C41" i="13"/>
  <c r="A22"/>
  <c r="A30"/>
  <c r="A32"/>
  <c r="A33"/>
  <c r="A34"/>
  <c r="A35"/>
  <c r="A36"/>
  <c r="A27"/>
  <c r="A39"/>
  <c r="A40"/>
  <c r="A23"/>
  <c r="A24"/>
  <c r="A25"/>
  <c r="A26"/>
  <c r="A28"/>
  <c r="A29"/>
  <c r="A31"/>
  <c r="A37"/>
  <c r="A38"/>
  <c r="A41"/>
  <c r="C22"/>
  <c r="D22" s="1"/>
  <c r="I22" s="1"/>
  <c r="J22" s="1"/>
  <c r="K22" s="1"/>
  <c r="C24"/>
  <c r="D24" s="1"/>
  <c r="I24" s="1"/>
  <c r="J24" s="1"/>
  <c r="C26"/>
  <c r="C28"/>
  <c r="C30"/>
  <c r="C32"/>
  <c r="C34"/>
  <c r="D34" s="1"/>
  <c r="I34" s="1"/>
  <c r="J34" s="1"/>
  <c r="C36"/>
  <c r="C38"/>
  <c r="D38" s="1"/>
  <c r="I38" s="1"/>
  <c r="J38" s="1"/>
  <c r="C40"/>
  <c r="D40" s="1"/>
  <c r="I40" s="1"/>
  <c r="J40" s="1"/>
  <c r="L21"/>
  <c r="C23"/>
  <c r="C25"/>
  <c r="D25" s="1"/>
  <c r="C27"/>
  <c r="D27" s="1"/>
  <c r="I27" s="1"/>
  <c r="J27" s="1"/>
  <c r="C29"/>
  <c r="C31"/>
  <c r="C33"/>
  <c r="C35"/>
  <c r="D35" s="1"/>
  <c r="I35" s="1"/>
  <c r="J35" s="1"/>
  <c r="C37"/>
  <c r="C39"/>
  <c r="G42" i="12"/>
  <c r="C43"/>
  <c r="D43" s="1"/>
  <c r="B43" s="1"/>
  <c r="C42"/>
  <c r="D42" s="1"/>
  <c r="B42" s="1"/>
  <c r="G43"/>
  <c r="A41"/>
  <c r="G37"/>
  <c r="G39"/>
  <c r="G35"/>
  <c r="G40"/>
  <c r="C39"/>
  <c r="D39" s="1"/>
  <c r="G38"/>
  <c r="C37"/>
  <c r="D37" s="1"/>
  <c r="B37" s="1"/>
  <c r="G36"/>
  <c r="C35"/>
  <c r="D35" s="1"/>
  <c r="G34"/>
  <c r="C33"/>
  <c r="A33"/>
  <c r="C40"/>
  <c r="D40" s="1"/>
  <c r="C38"/>
  <c r="D38" s="1"/>
  <c r="C36"/>
  <c r="D36" s="1"/>
  <c r="C34"/>
  <c r="D34" s="1"/>
  <c r="B15"/>
  <c r="A32"/>
  <c r="A31"/>
  <c r="A30"/>
  <c r="A29"/>
  <c r="A28"/>
  <c r="A27"/>
  <c r="A26"/>
  <c r="A25"/>
  <c r="A24"/>
  <c r="C32"/>
  <c r="C31"/>
  <c r="C30"/>
  <c r="C29"/>
  <c r="C28"/>
  <c r="C27"/>
  <c r="C26"/>
  <c r="C25"/>
  <c r="C24"/>
  <c r="L23"/>
  <c r="P25" i="14" l="1"/>
  <c r="P48"/>
  <c r="AX48" s="1"/>
  <c r="P40"/>
  <c r="P32"/>
  <c r="P53"/>
  <c r="AX53" s="1"/>
  <c r="P45"/>
  <c r="AX45" s="1"/>
  <c r="P37"/>
  <c r="AX37" s="1"/>
  <c r="P29"/>
  <c r="P50"/>
  <c r="AX50" s="1"/>
  <c r="P42"/>
  <c r="P34"/>
  <c r="P26"/>
  <c r="P47"/>
  <c r="AX47" s="1"/>
  <c r="P39"/>
  <c r="AX39" s="1"/>
  <c r="P31"/>
  <c r="B40" i="16"/>
  <c r="B38"/>
  <c r="B42"/>
  <c r="B37"/>
  <c r="B30"/>
  <c r="B45"/>
  <c r="B35"/>
  <c r="B44"/>
  <c r="J32" i="17"/>
  <c r="I32"/>
  <c r="J36"/>
  <c r="I36"/>
  <c r="J40"/>
  <c r="I40"/>
  <c r="J44"/>
  <c r="I44"/>
  <c r="J48"/>
  <c r="I48"/>
  <c r="I33"/>
  <c r="J33"/>
  <c r="I37"/>
  <c r="J37"/>
  <c r="I41"/>
  <c r="J41"/>
  <c r="I45"/>
  <c r="J45"/>
  <c r="I49"/>
  <c r="J49"/>
  <c r="B34"/>
  <c r="J34"/>
  <c r="I34"/>
  <c r="J38"/>
  <c r="I38"/>
  <c r="B42"/>
  <c r="J42"/>
  <c r="I42"/>
  <c r="J46"/>
  <c r="I46"/>
  <c r="B50"/>
  <c r="J50"/>
  <c r="I50"/>
  <c r="J35"/>
  <c r="I35"/>
  <c r="B39"/>
  <c r="J39"/>
  <c r="I39"/>
  <c r="J43"/>
  <c r="I43"/>
  <c r="B47"/>
  <c r="J47"/>
  <c r="I47"/>
  <c r="J51"/>
  <c r="I51"/>
  <c r="I25" i="13"/>
  <c r="J25" s="1"/>
  <c r="K25" s="1"/>
  <c r="B51" i="17"/>
  <c r="B38"/>
  <c r="B46"/>
  <c r="B35"/>
  <c r="B43"/>
  <c r="I34" i="16"/>
  <c r="L35" s="1"/>
  <c r="B34"/>
  <c r="I32"/>
  <c r="B32"/>
  <c r="L38"/>
  <c r="L42"/>
  <c r="I46"/>
  <c r="L47" s="1"/>
  <c r="B46"/>
  <c r="I29"/>
  <c r="L30" s="1"/>
  <c r="B29"/>
  <c r="L36"/>
  <c r="L40"/>
  <c r="L44"/>
  <c r="L48"/>
  <c r="B36"/>
  <c r="B47"/>
  <c r="B41"/>
  <c r="L31"/>
  <c r="L39"/>
  <c r="L43"/>
  <c r="I33"/>
  <c r="B33"/>
  <c r="L37"/>
  <c r="L41"/>
  <c r="L45"/>
  <c r="B43"/>
  <c r="B31"/>
  <c r="B39"/>
  <c r="D39" i="13"/>
  <c r="I39" s="1"/>
  <c r="J39" s="1"/>
  <c r="K39" s="1"/>
  <c r="K35"/>
  <c r="D31"/>
  <c r="I31" s="1"/>
  <c r="J31" s="1"/>
  <c r="D23"/>
  <c r="I23" s="1"/>
  <c r="J23" s="1"/>
  <c r="K23" s="1"/>
  <c r="D36"/>
  <c r="I36" s="1"/>
  <c r="J36" s="1"/>
  <c r="D32"/>
  <c r="I32" s="1"/>
  <c r="J32" s="1"/>
  <c r="D41"/>
  <c r="I41" s="1"/>
  <c r="J41" s="1"/>
  <c r="AX23" i="14"/>
  <c r="AX55"/>
  <c r="AX51"/>
  <c r="AX49"/>
  <c r="AX54"/>
  <c r="AX52"/>
  <c r="AX46"/>
  <c r="AX44"/>
  <c r="AX42"/>
  <c r="AX40"/>
  <c r="AX38"/>
  <c r="AX36"/>
  <c r="AX34"/>
  <c r="AX32"/>
  <c r="AX43"/>
  <c r="AX41"/>
  <c r="AX35"/>
  <c r="AX33"/>
  <c r="AX31"/>
  <c r="AX29"/>
  <c r="AX27"/>
  <c r="AX30"/>
  <c r="AX28"/>
  <c r="AX26"/>
  <c r="AY23"/>
  <c r="AY26"/>
  <c r="Q42"/>
  <c r="Q41"/>
  <c r="AY41" s="1"/>
  <c r="Q50"/>
  <c r="AY50" s="1"/>
  <c r="Q34"/>
  <c r="AY34" s="1"/>
  <c r="Q49"/>
  <c r="AY49" s="1"/>
  <c r="Q33"/>
  <c r="Q54"/>
  <c r="Q46"/>
  <c r="Q38"/>
  <c r="Q30"/>
  <c r="AY30" s="1"/>
  <c r="Q53"/>
  <c r="Q45"/>
  <c r="Q37"/>
  <c r="Q29"/>
  <c r="Q25"/>
  <c r="Q52"/>
  <c r="AY52" s="1"/>
  <c r="Q48"/>
  <c r="Q44"/>
  <c r="Q40"/>
  <c r="Q36"/>
  <c r="Q32"/>
  <c r="Q28"/>
  <c r="Q55"/>
  <c r="Q51"/>
  <c r="AY51" s="1"/>
  <c r="Q47"/>
  <c r="Q43"/>
  <c r="AY43" s="1"/>
  <c r="Q39"/>
  <c r="Q35"/>
  <c r="AY35" s="1"/>
  <c r="Q31"/>
  <c r="Q27"/>
  <c r="AY27" s="1"/>
  <c r="D37" i="13"/>
  <c r="I37" s="1"/>
  <c r="J37" s="1"/>
  <c r="K37" s="1"/>
  <c r="D33"/>
  <c r="B33" s="1"/>
  <c r="D29"/>
  <c r="B29" s="1"/>
  <c r="D30"/>
  <c r="I30" s="1"/>
  <c r="J30" s="1"/>
  <c r="K31" s="1"/>
  <c r="D26"/>
  <c r="B26" s="1"/>
  <c r="K40"/>
  <c r="K36"/>
  <c r="K32"/>
  <c r="K24"/>
  <c r="K41"/>
  <c r="I33"/>
  <c r="J33" s="1"/>
  <c r="K33" s="1"/>
  <c r="I29"/>
  <c r="J29" s="1"/>
  <c r="D28"/>
  <c r="I28" s="1"/>
  <c r="J28" s="1"/>
  <c r="K28" s="1"/>
  <c r="B41"/>
  <c r="B40"/>
  <c r="L41" s="1"/>
  <c r="B36"/>
  <c r="B24"/>
  <c r="B35"/>
  <c r="B27"/>
  <c r="B23"/>
  <c r="B38"/>
  <c r="B37"/>
  <c r="B39"/>
  <c r="B34"/>
  <c r="B32"/>
  <c r="B30"/>
  <c r="B22"/>
  <c r="B31"/>
  <c r="B28"/>
  <c r="B25"/>
  <c r="D24" i="12"/>
  <c r="B24" s="1"/>
  <c r="I24" s="1"/>
  <c r="I42"/>
  <c r="J42"/>
  <c r="I43"/>
  <c r="J43"/>
  <c r="D41"/>
  <c r="B41" s="1"/>
  <c r="D25"/>
  <c r="J25" s="1"/>
  <c r="D27"/>
  <c r="J27" s="1"/>
  <c r="D29"/>
  <c r="J29" s="1"/>
  <c r="D31"/>
  <c r="J31" s="1"/>
  <c r="D26"/>
  <c r="B26" s="1"/>
  <c r="I26" s="1"/>
  <c r="D28"/>
  <c r="B28" s="1"/>
  <c r="I28" s="1"/>
  <c r="D30"/>
  <c r="J30" s="1"/>
  <c r="D32"/>
  <c r="J32" s="1"/>
  <c r="J36"/>
  <c r="J40"/>
  <c r="J35"/>
  <c r="D33"/>
  <c r="B36"/>
  <c r="I36" s="1"/>
  <c r="B40"/>
  <c r="I40" s="1"/>
  <c r="J34"/>
  <c r="J38"/>
  <c r="J37"/>
  <c r="I37"/>
  <c r="J39"/>
  <c r="B33"/>
  <c r="B34"/>
  <c r="I34" s="1"/>
  <c r="B38"/>
  <c r="I38" s="1"/>
  <c r="B35"/>
  <c r="I35" s="1"/>
  <c r="B39"/>
  <c r="I39" s="1"/>
  <c r="J28"/>
  <c r="J26"/>
  <c r="D41" i="14" l="1"/>
  <c r="D26"/>
  <c r="J24" i="12"/>
  <c r="B31"/>
  <c r="I31" s="1"/>
  <c r="K37" i="16"/>
  <c r="M37" s="1"/>
  <c r="K43"/>
  <c r="M43" s="1"/>
  <c r="K40"/>
  <c r="M40" s="1"/>
  <c r="K39"/>
  <c r="M39" s="1"/>
  <c r="K41"/>
  <c r="M41" s="1"/>
  <c r="K44"/>
  <c r="M44" s="1"/>
  <c r="K45"/>
  <c r="M45" s="1"/>
  <c r="K48"/>
  <c r="M48" s="1"/>
  <c r="K36"/>
  <c r="M36" s="1"/>
  <c r="D49" i="14"/>
  <c r="E50" s="1"/>
  <c r="D50"/>
  <c r="L32" i="17"/>
  <c r="L45"/>
  <c r="L37"/>
  <c r="L39"/>
  <c r="L46"/>
  <c r="M35"/>
  <c r="M38"/>
  <c r="M43"/>
  <c r="M46"/>
  <c r="M51"/>
  <c r="M47"/>
  <c r="M39"/>
  <c r="M50"/>
  <c r="M42"/>
  <c r="M34"/>
  <c r="M49"/>
  <c r="M45"/>
  <c r="M41"/>
  <c r="M37"/>
  <c r="M33"/>
  <c r="M48"/>
  <c r="M44"/>
  <c r="M40"/>
  <c r="M36"/>
  <c r="M32"/>
  <c r="I26" i="13"/>
  <c r="J26" s="1"/>
  <c r="K26" s="1"/>
  <c r="K29" i="16"/>
  <c r="L29"/>
  <c r="K46"/>
  <c r="L46"/>
  <c r="K32"/>
  <c r="L32"/>
  <c r="L34"/>
  <c r="K42"/>
  <c r="M42" s="1"/>
  <c r="K38"/>
  <c r="M38" s="1"/>
  <c r="L33"/>
  <c r="K31"/>
  <c r="M31" s="1"/>
  <c r="B30" i="12"/>
  <c r="I30" s="1"/>
  <c r="K34" i="13"/>
  <c r="AY38" i="14"/>
  <c r="D38" s="1"/>
  <c r="AY42"/>
  <c r="D42" s="1"/>
  <c r="AY31"/>
  <c r="D31" s="1"/>
  <c r="AY39"/>
  <c r="D39" s="1"/>
  <c r="AY47"/>
  <c r="D47" s="1"/>
  <c r="AY55"/>
  <c r="D55" s="1"/>
  <c r="AY48"/>
  <c r="D48" s="1"/>
  <c r="K38" i="13"/>
  <c r="D27" i="14"/>
  <c r="D35"/>
  <c r="D43"/>
  <c r="D51"/>
  <c r="E51" s="1"/>
  <c r="D52"/>
  <c r="D30"/>
  <c r="D34"/>
  <c r="E35" s="1"/>
  <c r="AY25"/>
  <c r="D25" s="1"/>
  <c r="E26" s="1"/>
  <c r="AY29"/>
  <c r="D29" s="1"/>
  <c r="AY28"/>
  <c r="D28" s="1"/>
  <c r="AY32"/>
  <c r="D32" s="1"/>
  <c r="E32" s="1"/>
  <c r="AY36"/>
  <c r="D36" s="1"/>
  <c r="E36" s="1"/>
  <c r="AY40"/>
  <c r="D40" s="1"/>
  <c r="AY44"/>
  <c r="D44" s="1"/>
  <c r="AY33"/>
  <c r="D33" s="1"/>
  <c r="AY37"/>
  <c r="D37" s="1"/>
  <c r="E37" s="1"/>
  <c r="AY45"/>
  <c r="D45" s="1"/>
  <c r="AY53"/>
  <c r="D53" s="1"/>
  <c r="AY46"/>
  <c r="D46" s="1"/>
  <c r="AY54"/>
  <c r="D54" s="1"/>
  <c r="E54" s="1"/>
  <c r="B27" i="12"/>
  <c r="I27" s="1"/>
  <c r="L27" s="1"/>
  <c r="K29" i="13"/>
  <c r="K30"/>
  <c r="K27"/>
  <c r="L25"/>
  <c r="L30"/>
  <c r="L28"/>
  <c r="L32"/>
  <c r="L39"/>
  <c r="L37"/>
  <c r="L23"/>
  <c r="L35"/>
  <c r="L31"/>
  <c r="L34"/>
  <c r="L27"/>
  <c r="L24"/>
  <c r="L36"/>
  <c r="L22"/>
  <c r="L26"/>
  <c r="L38"/>
  <c r="L29"/>
  <c r="L33"/>
  <c r="L40"/>
  <c r="M41"/>
  <c r="J41" i="12"/>
  <c r="I41"/>
  <c r="K42" s="1"/>
  <c r="K43"/>
  <c r="L43"/>
  <c r="B32"/>
  <c r="I32" s="1"/>
  <c r="B29"/>
  <c r="I29" s="1"/>
  <c r="L29" s="1"/>
  <c r="B25"/>
  <c r="I25" s="1"/>
  <c r="K26" s="1"/>
  <c r="L37"/>
  <c r="K38"/>
  <c r="L38"/>
  <c r="K36"/>
  <c r="L36"/>
  <c r="K35"/>
  <c r="L35"/>
  <c r="K40"/>
  <c r="L40"/>
  <c r="J33"/>
  <c r="I33"/>
  <c r="K34" s="1"/>
  <c r="K39"/>
  <c r="K37"/>
  <c r="M37" s="1"/>
  <c r="L39"/>
  <c r="K29"/>
  <c r="K24"/>
  <c r="L24"/>
  <c r="K27"/>
  <c r="E52" i="14" l="1"/>
  <c r="F53" s="1"/>
  <c r="G53" s="1"/>
  <c r="E27"/>
  <c r="E46"/>
  <c r="L28" i="12"/>
  <c r="L31"/>
  <c r="K32"/>
  <c r="L30"/>
  <c r="K31"/>
  <c r="M31" s="1"/>
  <c r="K33" i="16"/>
  <c r="M33" s="1"/>
  <c r="K47"/>
  <c r="M47" s="1"/>
  <c r="F51" i="14"/>
  <c r="G51" s="1"/>
  <c r="E53"/>
  <c r="E44"/>
  <c r="E28"/>
  <c r="E39"/>
  <c r="L33" i="17"/>
  <c r="L49"/>
  <c r="L40"/>
  <c r="L41"/>
  <c r="L42"/>
  <c r="N42" s="1"/>
  <c r="L35"/>
  <c r="L36"/>
  <c r="N36" s="1"/>
  <c r="L38"/>
  <c r="L51"/>
  <c r="N51" s="1"/>
  <c r="L43"/>
  <c r="L44"/>
  <c r="N44" s="1"/>
  <c r="L47"/>
  <c r="L48"/>
  <c r="N48" s="1"/>
  <c r="L34"/>
  <c r="L50"/>
  <c r="N50" s="1"/>
  <c r="N32"/>
  <c r="N40"/>
  <c r="N37"/>
  <c r="N41"/>
  <c r="N45"/>
  <c r="N49"/>
  <c r="N34"/>
  <c r="N39"/>
  <c r="N47"/>
  <c r="N46"/>
  <c r="N43"/>
  <c r="N38"/>
  <c r="N35"/>
  <c r="M32" i="16"/>
  <c r="M46"/>
  <c r="M29"/>
  <c r="K34"/>
  <c r="M34" s="1"/>
  <c r="K35"/>
  <c r="M35" s="1"/>
  <c r="K30"/>
  <c r="M30" s="1"/>
  <c r="L25" i="12"/>
  <c r="L26"/>
  <c r="M26" s="1"/>
  <c r="E31" i="14"/>
  <c r="E33"/>
  <c r="F33" s="1"/>
  <c r="G33" s="1"/>
  <c r="E34"/>
  <c r="F35" s="1"/>
  <c r="G35" s="1"/>
  <c r="E40"/>
  <c r="F41" s="1"/>
  <c r="G41" s="1"/>
  <c r="E41"/>
  <c r="E29"/>
  <c r="E30"/>
  <c r="E42"/>
  <c r="F42" s="1"/>
  <c r="E43"/>
  <c r="E45"/>
  <c r="F46" s="1"/>
  <c r="G46" s="1"/>
  <c r="E55"/>
  <c r="F55" s="1"/>
  <c r="G55" s="1"/>
  <c r="E48"/>
  <c r="F49" s="1"/>
  <c r="G49" s="1"/>
  <c r="E49"/>
  <c r="F50" s="1"/>
  <c r="E47"/>
  <c r="F47" s="1"/>
  <c r="G47" s="1"/>
  <c r="E38"/>
  <c r="F39" s="1"/>
  <c r="L32" i="12"/>
  <c r="K28"/>
  <c r="F34" i="14"/>
  <c r="G34" s="1"/>
  <c r="F32"/>
  <c r="G32" s="1"/>
  <c r="F26"/>
  <c r="G26" s="1"/>
  <c r="F54"/>
  <c r="G54" s="1"/>
  <c r="F43"/>
  <c r="G43" s="1"/>
  <c r="F36"/>
  <c r="G36" s="1"/>
  <c r="F37"/>
  <c r="G37" s="1"/>
  <c r="G39"/>
  <c r="G50"/>
  <c r="L42" i="12"/>
  <c r="M42" s="1"/>
  <c r="K42" i="13"/>
  <c r="B15" s="1"/>
  <c r="M22"/>
  <c r="M40"/>
  <c r="M33"/>
  <c r="M29"/>
  <c r="M38"/>
  <c r="M26"/>
  <c r="M36"/>
  <c r="M24"/>
  <c r="M27"/>
  <c r="M34"/>
  <c r="M31"/>
  <c r="M35"/>
  <c r="M23"/>
  <c r="M37"/>
  <c r="M39"/>
  <c r="M32"/>
  <c r="M28"/>
  <c r="M30"/>
  <c r="M25"/>
  <c r="K30" i="12"/>
  <c r="M30" s="1"/>
  <c r="M43"/>
  <c r="K41"/>
  <c r="L41"/>
  <c r="K25"/>
  <c r="M39"/>
  <c r="M40"/>
  <c r="M35"/>
  <c r="M36"/>
  <c r="M38"/>
  <c r="L33"/>
  <c r="K33"/>
  <c r="L34"/>
  <c r="M34" s="1"/>
  <c r="M24"/>
  <c r="M29"/>
  <c r="M28"/>
  <c r="M27"/>
  <c r="F45" i="14" l="1"/>
  <c r="G45" s="1"/>
  <c r="F40"/>
  <c r="G40" s="1"/>
  <c r="F48"/>
  <c r="G48" s="1"/>
  <c r="F44"/>
  <c r="G44" s="1"/>
  <c r="F30"/>
  <c r="G30" s="1"/>
  <c r="F29"/>
  <c r="G29" s="1"/>
  <c r="F28"/>
  <c r="G28" s="1"/>
  <c r="F52"/>
  <c r="G52" s="1"/>
  <c r="F31"/>
  <c r="G31" s="1"/>
  <c r="F38"/>
  <c r="G38" s="1"/>
  <c r="F27"/>
  <c r="G27" s="1"/>
  <c r="G42"/>
  <c r="I25"/>
  <c r="H6" s="1"/>
  <c r="M32" i="12"/>
  <c r="M25"/>
  <c r="L52" i="17"/>
  <c r="B25" s="1"/>
  <c r="N33"/>
  <c r="N52" s="1"/>
  <c r="K49" i="16"/>
  <c r="B22" s="1"/>
  <c r="M49"/>
  <c r="M42" i="13"/>
  <c r="N42" s="1"/>
  <c r="B16" s="1"/>
  <c r="K44" i="12"/>
  <c r="B17" s="1"/>
  <c r="M41"/>
  <c r="M33"/>
  <c r="H25" i="14" l="1"/>
  <c r="J25" s="1"/>
  <c r="H7" s="1"/>
  <c r="O52" i="17"/>
  <c r="B26" s="1"/>
  <c r="N49" i="16"/>
  <c r="B23" s="1"/>
  <c r="M44" i="12"/>
  <c r="N44" s="1"/>
  <c r="B18" s="1"/>
  <c r="B21" i="9"/>
  <c r="B27" s="1"/>
  <c r="C27" s="1"/>
  <c r="C16"/>
  <c r="D16" s="1"/>
  <c r="B17" s="1"/>
  <c r="B16"/>
  <c r="D15"/>
  <c r="B12"/>
  <c r="D12" s="1"/>
  <c r="D11"/>
  <c r="B6" i="8"/>
  <c r="C11" s="1"/>
  <c r="B13"/>
  <c r="C13" s="1"/>
  <c r="D13"/>
  <c r="K13"/>
  <c r="L13"/>
  <c r="O13"/>
  <c r="P13" s="1"/>
  <c r="B14"/>
  <c r="C14" s="1"/>
  <c r="D14"/>
  <c r="K14"/>
  <c r="L14" s="1"/>
  <c r="B15"/>
  <c r="C15" s="1"/>
  <c r="D15"/>
  <c r="K15"/>
  <c r="L15" s="1"/>
  <c r="B16"/>
  <c r="C16" s="1"/>
  <c r="D16"/>
  <c r="K16"/>
  <c r="L16" s="1"/>
  <c r="B17"/>
  <c r="C17" s="1"/>
  <c r="D17"/>
  <c r="E17" s="1"/>
  <c r="K17"/>
  <c r="L17" s="1"/>
  <c r="B18"/>
  <c r="C18" s="1"/>
  <c r="D18"/>
  <c r="E18" s="1"/>
  <c r="K18"/>
  <c r="L18" s="1"/>
  <c r="B19"/>
  <c r="C19" s="1"/>
  <c r="D19"/>
  <c r="K19"/>
  <c r="L19" s="1"/>
  <c r="B20"/>
  <c r="C20" s="1"/>
  <c r="D20"/>
  <c r="E20" s="1"/>
  <c r="K20"/>
  <c r="L20" s="1"/>
  <c r="B21"/>
  <c r="C21" s="1"/>
  <c r="D21"/>
  <c r="E21" s="1"/>
  <c r="K21"/>
  <c r="L21" s="1"/>
  <c r="B22"/>
  <c r="C22" s="1"/>
  <c r="D22"/>
  <c r="E22" s="1"/>
  <c r="K22"/>
  <c r="L22" s="1"/>
  <c r="B23"/>
  <c r="C23" s="1"/>
  <c r="D23"/>
  <c r="K23"/>
  <c r="L23" s="1"/>
  <c r="K2" i="7"/>
  <c r="K4" s="1"/>
  <c r="K5" s="1"/>
  <c r="K3"/>
  <c r="K7"/>
  <c r="B8"/>
  <c r="K8"/>
  <c r="K9"/>
  <c r="K10"/>
  <c r="B18"/>
  <c r="C18" s="1"/>
  <c r="D18"/>
  <c r="K18"/>
  <c r="L18" s="1"/>
  <c r="O18" s="1"/>
  <c r="P18" s="1"/>
  <c r="M18"/>
  <c r="B19"/>
  <c r="C19" s="1"/>
  <c r="D19"/>
  <c r="K19"/>
  <c r="L19" s="1"/>
  <c r="M19"/>
  <c r="B20"/>
  <c r="C20" s="1"/>
  <c r="D20"/>
  <c r="K20"/>
  <c r="L20" s="1"/>
  <c r="B21"/>
  <c r="C21" s="1"/>
  <c r="D21"/>
  <c r="K21"/>
  <c r="L21" s="1"/>
  <c r="B22"/>
  <c r="C22" s="1"/>
  <c r="D22"/>
  <c r="K22"/>
  <c r="L22" s="1"/>
  <c r="B23"/>
  <c r="C23" s="1"/>
  <c r="D23"/>
  <c r="K23"/>
  <c r="L23" s="1"/>
  <c r="B24"/>
  <c r="C24" s="1"/>
  <c r="D24"/>
  <c r="K24"/>
  <c r="L24" s="1"/>
  <c r="B25"/>
  <c r="C25" s="1"/>
  <c r="D25"/>
  <c r="K25"/>
  <c r="L25" s="1"/>
  <c r="B26"/>
  <c r="C26" s="1"/>
  <c r="D26"/>
  <c r="K26"/>
  <c r="L26" s="1"/>
  <c r="B27"/>
  <c r="C27" s="1"/>
  <c r="D27"/>
  <c r="K27"/>
  <c r="L27" s="1"/>
  <c r="B28"/>
  <c r="C28" s="1"/>
  <c r="D28"/>
  <c r="K28"/>
  <c r="L28" s="1"/>
  <c r="E16" i="8" l="1"/>
  <c r="E24" s="1"/>
  <c r="E23"/>
  <c r="E19"/>
  <c r="E15"/>
  <c r="M22"/>
  <c r="M20"/>
  <c r="N20" s="1"/>
  <c r="M19"/>
  <c r="M18"/>
  <c r="M17"/>
  <c r="O18" s="1"/>
  <c r="M16"/>
  <c r="M14"/>
  <c r="M23"/>
  <c r="M21"/>
  <c r="M15"/>
  <c r="O15" s="1"/>
  <c r="M13"/>
  <c r="N14" s="1"/>
  <c r="L11"/>
  <c r="F15"/>
  <c r="G15" s="1"/>
  <c r="F23"/>
  <c r="F22"/>
  <c r="G22" s="1"/>
  <c r="F21"/>
  <c r="F20"/>
  <c r="G20" s="1"/>
  <c r="F19"/>
  <c r="F18"/>
  <c r="G18" s="1"/>
  <c r="F17"/>
  <c r="G17" s="1"/>
  <c r="F16"/>
  <c r="E14"/>
  <c r="E25" i="7"/>
  <c r="G25" s="1"/>
  <c r="E21"/>
  <c r="F20"/>
  <c r="F25"/>
  <c r="E28"/>
  <c r="G28" s="1"/>
  <c r="F28"/>
  <c r="E24"/>
  <c r="F24"/>
  <c r="E27"/>
  <c r="G27" s="1"/>
  <c r="F27"/>
  <c r="E23"/>
  <c r="F23"/>
  <c r="N19"/>
  <c r="E26"/>
  <c r="G26" s="1"/>
  <c r="F26"/>
  <c r="E22"/>
  <c r="F22"/>
  <c r="F21"/>
  <c r="E19"/>
  <c r="M28"/>
  <c r="M26"/>
  <c r="M23"/>
  <c r="M20"/>
  <c r="N20" s="1"/>
  <c r="C16"/>
  <c r="L16"/>
  <c r="M27"/>
  <c r="M25"/>
  <c r="N25" s="1"/>
  <c r="M24"/>
  <c r="M22"/>
  <c r="M21"/>
  <c r="N21" s="1"/>
  <c r="G21"/>
  <c r="O19"/>
  <c r="E20"/>
  <c r="G20" s="1"/>
  <c r="D13" i="9"/>
  <c r="B22"/>
  <c r="B23"/>
  <c r="D26" s="1"/>
  <c r="G14" i="8"/>
  <c r="F14"/>
  <c r="F13"/>
  <c r="G13" s="1"/>
  <c r="G23"/>
  <c r="G21"/>
  <c r="G19"/>
  <c r="F19" i="7"/>
  <c r="G19" s="1"/>
  <c r="F18"/>
  <c r="G18" s="1"/>
  <c r="O16" i="8" l="1"/>
  <c r="O22"/>
  <c r="N15"/>
  <c r="G16"/>
  <c r="G24" s="1"/>
  <c r="H24" s="1"/>
  <c r="O17"/>
  <c r="O20"/>
  <c r="P20" s="1"/>
  <c r="N23"/>
  <c r="N18"/>
  <c r="P18" s="1"/>
  <c r="O21"/>
  <c r="N21"/>
  <c r="P21" s="1"/>
  <c r="N17"/>
  <c r="N22"/>
  <c r="N16"/>
  <c r="P16" s="1"/>
  <c r="O19"/>
  <c r="O23"/>
  <c r="P23" s="1"/>
  <c r="N19"/>
  <c r="P15"/>
  <c r="O14"/>
  <c r="P14" s="1"/>
  <c r="P19" i="7"/>
  <c r="N27"/>
  <c r="G22"/>
  <c r="G23"/>
  <c r="G24"/>
  <c r="O27"/>
  <c r="P27" s="1"/>
  <c r="E29"/>
  <c r="B13" s="1"/>
  <c r="O25"/>
  <c r="P25" s="1"/>
  <c r="O20"/>
  <c r="P20" s="1"/>
  <c r="N28"/>
  <c r="N22"/>
  <c r="N26"/>
  <c r="O28"/>
  <c r="P28" s="1"/>
  <c r="O21"/>
  <c r="O26"/>
  <c r="N23"/>
  <c r="O24"/>
  <c r="N24"/>
  <c r="O23"/>
  <c r="O22"/>
  <c r="P22" s="1"/>
  <c r="P21"/>
  <c r="D27" i="9"/>
  <c r="B28" s="1"/>
  <c r="D24"/>
  <c r="D23"/>
  <c r="D22"/>
  <c r="G29" i="7"/>
  <c r="H29" s="1"/>
  <c r="B14" s="1"/>
  <c r="P17" i="8" l="1"/>
  <c r="P22"/>
  <c r="P19"/>
  <c r="N24"/>
  <c r="B8" s="1"/>
  <c r="P26" i="7"/>
  <c r="P24"/>
  <c r="N29"/>
  <c r="P23"/>
  <c r="P24" i="8" l="1"/>
  <c r="Q24" s="1"/>
  <c r="B9" s="1"/>
  <c r="P29" i="7"/>
  <c r="Q29" s="1"/>
  <c r="K14" s="1"/>
  <c r="K13"/>
  <c r="B9"/>
  <c r="C24" i="1"/>
  <c r="B19"/>
  <c r="B10" i="7" l="1"/>
  <c r="Z161" i="1"/>
  <c r="AM161"/>
  <c r="AM160"/>
  <c r="Z160"/>
  <c r="Z159"/>
  <c r="Z158"/>
  <c r="Z157"/>
  <c r="Z156"/>
  <c r="Z155"/>
  <c r="Z154"/>
  <c r="Z153"/>
  <c r="Z152"/>
  <c r="Z147"/>
  <c r="Z146"/>
  <c r="Z145"/>
  <c r="Z144"/>
  <c r="Z143"/>
  <c r="Z142"/>
  <c r="Z141"/>
  <c r="Z140"/>
  <c r="Z139"/>
  <c r="Z138"/>
  <c r="Z133"/>
  <c r="Z132"/>
  <c r="Z131"/>
  <c r="Z130"/>
  <c r="Z129"/>
  <c r="Z128"/>
  <c r="Z127"/>
  <c r="Z126"/>
  <c r="Z125"/>
  <c r="Z124"/>
  <c r="Z119"/>
  <c r="Z118"/>
  <c r="Z117"/>
  <c r="Z116"/>
  <c r="Z115"/>
  <c r="Z114"/>
  <c r="Z113"/>
  <c r="Z112"/>
  <c r="Z111"/>
  <c r="Z110"/>
  <c r="Z105"/>
  <c r="Z104"/>
  <c r="Z103"/>
  <c r="Z102"/>
  <c r="Z101"/>
  <c r="Z100"/>
  <c r="Z99"/>
  <c r="Z98"/>
  <c r="Z97"/>
  <c r="Z96"/>
  <c r="Z91"/>
  <c r="Z90"/>
  <c r="Z89"/>
  <c r="Z88"/>
  <c r="Z87"/>
  <c r="Z86"/>
  <c r="Z85"/>
  <c r="Z84"/>
  <c r="Z83"/>
  <c r="Z82"/>
  <c r="Z77"/>
  <c r="Z76"/>
  <c r="Z75"/>
  <c r="Z74"/>
  <c r="Z73"/>
  <c r="Z72"/>
  <c r="Z71"/>
  <c r="Z70"/>
  <c r="Z69"/>
  <c r="Z68"/>
  <c r="Z63"/>
  <c r="Z62"/>
  <c r="Z61"/>
  <c r="Z60"/>
  <c r="Z59"/>
  <c r="Z58"/>
  <c r="Z57"/>
  <c r="Z56"/>
  <c r="Z55"/>
  <c r="Z54"/>
  <c r="Z49"/>
  <c r="Z48"/>
  <c r="Z47"/>
  <c r="Z46"/>
  <c r="Z45"/>
  <c r="Z44"/>
  <c r="Z43"/>
  <c r="Z42"/>
  <c r="Z41"/>
  <c r="AM159"/>
  <c r="AM158"/>
  <c r="AM157"/>
  <c r="AM156"/>
  <c r="AM155"/>
  <c r="AM154"/>
  <c r="AM153"/>
  <c r="AM152"/>
  <c r="AM147"/>
  <c r="AM146"/>
  <c r="AM145"/>
  <c r="AM144"/>
  <c r="AM143"/>
  <c r="AM142"/>
  <c r="AM141"/>
  <c r="AM140"/>
  <c r="AM139"/>
  <c r="AM138"/>
  <c r="AM133"/>
  <c r="AM132"/>
  <c r="AM131"/>
  <c r="AM130"/>
  <c r="AM129"/>
  <c r="AM128"/>
  <c r="AM127"/>
  <c r="AM126"/>
  <c r="AM125"/>
  <c r="AM124"/>
  <c r="AM119"/>
  <c r="AM118"/>
  <c r="AM117"/>
  <c r="AM116"/>
  <c r="AM115"/>
  <c r="AM114"/>
  <c r="AM113"/>
  <c r="AM112"/>
  <c r="AM111"/>
  <c r="AM110"/>
  <c r="AM105"/>
  <c r="AM104"/>
  <c r="AM103"/>
  <c r="AM102"/>
  <c r="AM101"/>
  <c r="AM100"/>
  <c r="AM99"/>
  <c r="AM98"/>
  <c r="AM97"/>
  <c r="AM96"/>
  <c r="AM91"/>
  <c r="AM90"/>
  <c r="AM89"/>
  <c r="AM88"/>
  <c r="AM87"/>
  <c r="AM86"/>
  <c r="AM85"/>
  <c r="AM84"/>
  <c r="AM83"/>
  <c r="AM82"/>
  <c r="AM77"/>
  <c r="AM76"/>
  <c r="AM75"/>
  <c r="AM74"/>
  <c r="AM73"/>
  <c r="AM72"/>
  <c r="AM71"/>
  <c r="AM70"/>
  <c r="AM69"/>
  <c r="AM68"/>
  <c r="AM63"/>
  <c r="AM62"/>
  <c r="AM61"/>
  <c r="AM60"/>
  <c r="AM59"/>
  <c r="AM58"/>
  <c r="AM57"/>
  <c r="AM56"/>
  <c r="AM55"/>
  <c r="AM54"/>
  <c r="AM49"/>
  <c r="AM48"/>
  <c r="AM47"/>
  <c r="AM46"/>
  <c r="AM45"/>
  <c r="AM44"/>
  <c r="AM43"/>
  <c r="AM42"/>
  <c r="AM41"/>
  <c r="Z40"/>
  <c r="Z35"/>
  <c r="AM40"/>
  <c r="AM35"/>
  <c r="Z34"/>
  <c r="AM33"/>
  <c r="AM34"/>
  <c r="B34"/>
  <c r="Z33"/>
  <c r="AM32"/>
  <c r="B33"/>
  <c r="Z32"/>
  <c r="AM31"/>
  <c r="B31"/>
  <c r="Z30"/>
  <c r="AM29"/>
  <c r="B29"/>
  <c r="Z28"/>
  <c r="AM27"/>
  <c r="B27"/>
  <c r="Z26"/>
  <c r="B32"/>
  <c r="Z31"/>
  <c r="AM30"/>
  <c r="B30"/>
  <c r="Z29"/>
  <c r="AM28"/>
  <c r="B28"/>
  <c r="Z27"/>
  <c r="AM26"/>
  <c r="B26"/>
  <c r="B25"/>
  <c r="B17"/>
  <c r="L161" l="1"/>
  <c r="L160"/>
  <c r="L158"/>
  <c r="L156"/>
  <c r="L154"/>
  <c r="L152"/>
  <c r="L146"/>
  <c r="L144"/>
  <c r="L142"/>
  <c r="L140"/>
  <c r="L138"/>
  <c r="L132"/>
  <c r="L130"/>
  <c r="L128"/>
  <c r="L126"/>
  <c r="L124"/>
  <c r="L118"/>
  <c r="L116"/>
  <c r="L114"/>
  <c r="L112"/>
  <c r="L110"/>
  <c r="L104"/>
  <c r="L102"/>
  <c r="L100"/>
  <c r="L98"/>
  <c r="L96"/>
  <c r="L90"/>
  <c r="L88"/>
  <c r="L86"/>
  <c r="L84"/>
  <c r="L82"/>
  <c r="L76"/>
  <c r="L74"/>
  <c r="L72"/>
  <c r="L70"/>
  <c r="L68"/>
  <c r="L62"/>
  <c r="L60"/>
  <c r="L58"/>
  <c r="L56"/>
  <c r="L54"/>
  <c r="L48"/>
  <c r="L46"/>
  <c r="L44"/>
  <c r="L42"/>
  <c r="L159"/>
  <c r="L157"/>
  <c r="L155"/>
  <c r="L153"/>
  <c r="L147"/>
  <c r="L145"/>
  <c r="L143"/>
  <c r="L141"/>
  <c r="L139"/>
  <c r="L133"/>
  <c r="L131"/>
  <c r="L129"/>
  <c r="L127"/>
  <c r="L125"/>
  <c r="L119"/>
  <c r="L117"/>
  <c r="L115"/>
  <c r="L113"/>
  <c r="L111"/>
  <c r="L105"/>
  <c r="L103"/>
  <c r="L101"/>
  <c r="L99"/>
  <c r="L97"/>
  <c r="L91"/>
  <c r="L89"/>
  <c r="L87"/>
  <c r="L85"/>
  <c r="L83"/>
  <c r="L77"/>
  <c r="L75"/>
  <c r="L73"/>
  <c r="L71"/>
  <c r="L69"/>
  <c r="L63"/>
  <c r="L61"/>
  <c r="L59"/>
  <c r="L57"/>
  <c r="L55"/>
  <c r="L49"/>
  <c r="L47"/>
  <c r="L45"/>
  <c r="L43"/>
  <c r="L41"/>
  <c r="L40"/>
  <c r="L35"/>
  <c r="L34"/>
  <c r="L33"/>
  <c r="L32"/>
  <c r="L31"/>
  <c r="L30"/>
  <c r="L29"/>
  <c r="L28"/>
  <c r="L27"/>
  <c r="L26"/>
  <c r="B20"/>
  <c r="E10"/>
  <c r="B11" s="1"/>
  <c r="E8"/>
  <c r="E7" l="1"/>
  <c r="V150" l="1"/>
  <c r="T150"/>
  <c r="R150"/>
  <c r="P150"/>
  <c r="N150"/>
  <c r="U136"/>
  <c r="S136"/>
  <c r="Q136"/>
  <c r="O136"/>
  <c r="M136"/>
  <c r="U150"/>
  <c r="S150"/>
  <c r="Q150"/>
  <c r="O150"/>
  <c r="M150"/>
  <c r="V136"/>
  <c r="T136"/>
  <c r="R136"/>
  <c r="P136"/>
  <c r="N136"/>
  <c r="U122"/>
  <c r="S122"/>
  <c r="Q122"/>
  <c r="O122"/>
  <c r="M122"/>
  <c r="U108"/>
  <c r="S108"/>
  <c r="Q108"/>
  <c r="O108"/>
  <c r="M108"/>
  <c r="V122"/>
  <c r="T122"/>
  <c r="R122"/>
  <c r="P122"/>
  <c r="N122"/>
  <c r="V108"/>
  <c r="T108"/>
  <c r="R108"/>
  <c r="P108"/>
  <c r="N108"/>
  <c r="V94"/>
  <c r="T94"/>
  <c r="R94"/>
  <c r="P94"/>
  <c r="N94"/>
  <c r="V80"/>
  <c r="T80"/>
  <c r="R80"/>
  <c r="P80"/>
  <c r="N80"/>
  <c r="V66"/>
  <c r="T66"/>
  <c r="R66"/>
  <c r="P66"/>
  <c r="N66"/>
  <c r="U52"/>
  <c r="S52"/>
  <c r="Q52"/>
  <c r="O52"/>
  <c r="M52"/>
  <c r="U94"/>
  <c r="S94"/>
  <c r="Q94"/>
  <c r="O94"/>
  <c r="M94"/>
  <c r="U80"/>
  <c r="S80"/>
  <c r="Q80"/>
  <c r="O80"/>
  <c r="M80"/>
  <c r="U66"/>
  <c r="S66"/>
  <c r="Q66"/>
  <c r="O66"/>
  <c r="M66"/>
  <c r="V52"/>
  <c r="T52"/>
  <c r="R52"/>
  <c r="P52"/>
  <c r="N52"/>
  <c r="V38"/>
  <c r="T38"/>
  <c r="R38"/>
  <c r="P38"/>
  <c r="N38"/>
  <c r="U38"/>
  <c r="S38"/>
  <c r="Q38"/>
  <c r="O38"/>
  <c r="M38"/>
  <c r="Q24"/>
  <c r="V24"/>
  <c r="T24"/>
  <c r="R24"/>
  <c r="P24"/>
  <c r="N24"/>
  <c r="U24"/>
  <c r="S24"/>
  <c r="O24"/>
  <c r="M24"/>
  <c r="S161" l="1"/>
  <c r="S160"/>
  <c r="S158"/>
  <c r="S157"/>
  <c r="S155"/>
  <c r="S153"/>
  <c r="S145"/>
  <c r="AG145" s="1"/>
  <c r="S138"/>
  <c r="AG138" s="1"/>
  <c r="S133"/>
  <c r="AG133" s="1"/>
  <c r="S132"/>
  <c r="AG132" s="1"/>
  <c r="S130"/>
  <c r="AG130" s="1"/>
  <c r="S159"/>
  <c r="S156"/>
  <c r="S154"/>
  <c r="S152"/>
  <c r="S147"/>
  <c r="AG147" s="1"/>
  <c r="S146"/>
  <c r="AG146" s="1"/>
  <c r="S144"/>
  <c r="AG144" s="1"/>
  <c r="S143"/>
  <c r="AG143" s="1"/>
  <c r="S142"/>
  <c r="AG142" s="1"/>
  <c r="S141"/>
  <c r="AG141" s="1"/>
  <c r="S140"/>
  <c r="AG140" s="1"/>
  <c r="S139"/>
  <c r="AG139" s="1"/>
  <c r="S131"/>
  <c r="AG131" s="1"/>
  <c r="S128"/>
  <c r="AG128" s="1"/>
  <c r="S127"/>
  <c r="AG127" s="1"/>
  <c r="S126"/>
  <c r="AG126" s="1"/>
  <c r="S124"/>
  <c r="AG124" s="1"/>
  <c r="S119"/>
  <c r="AG119" s="1"/>
  <c r="S118"/>
  <c r="AG118" s="1"/>
  <c r="S116"/>
  <c r="AG116" s="1"/>
  <c r="S114"/>
  <c r="AG114" s="1"/>
  <c r="S113"/>
  <c r="AG113" s="1"/>
  <c r="S110"/>
  <c r="AG110" s="1"/>
  <c r="S104"/>
  <c r="AG104" s="1"/>
  <c r="S103"/>
  <c r="AG103" s="1"/>
  <c r="S129"/>
  <c r="AG129" s="1"/>
  <c r="S125"/>
  <c r="AG125" s="1"/>
  <c r="S117"/>
  <c r="AG117" s="1"/>
  <c r="S115"/>
  <c r="AG115" s="1"/>
  <c r="S112"/>
  <c r="AG112" s="1"/>
  <c r="S111"/>
  <c r="AG111" s="1"/>
  <c r="S105"/>
  <c r="AG105" s="1"/>
  <c r="S102"/>
  <c r="AG102" s="1"/>
  <c r="S99"/>
  <c r="AG99" s="1"/>
  <c r="S97"/>
  <c r="AG97" s="1"/>
  <c r="S90"/>
  <c r="AG90" s="1"/>
  <c r="S86"/>
  <c r="AG86" s="1"/>
  <c r="S85"/>
  <c r="AG85" s="1"/>
  <c r="S84"/>
  <c r="AG84" s="1"/>
  <c r="S83"/>
  <c r="AG83" s="1"/>
  <c r="S76"/>
  <c r="AG76" s="1"/>
  <c r="S74"/>
  <c r="AG74" s="1"/>
  <c r="S73"/>
  <c r="AG73" s="1"/>
  <c r="S72"/>
  <c r="AG72" s="1"/>
  <c r="S71"/>
  <c r="AG71" s="1"/>
  <c r="S70"/>
  <c r="AG70" s="1"/>
  <c r="S69"/>
  <c r="AG69" s="1"/>
  <c r="S63"/>
  <c r="AG63" s="1"/>
  <c r="S62"/>
  <c r="AG62" s="1"/>
  <c r="S60"/>
  <c r="AG60" s="1"/>
  <c r="S58"/>
  <c r="AG58" s="1"/>
  <c r="S57"/>
  <c r="AG57" s="1"/>
  <c r="S54"/>
  <c r="AG54" s="1"/>
  <c r="S49"/>
  <c r="AG49" s="1"/>
  <c r="S47"/>
  <c r="AG47" s="1"/>
  <c r="S45"/>
  <c r="AG45" s="1"/>
  <c r="S43"/>
  <c r="AG43" s="1"/>
  <c r="S41"/>
  <c r="AG41" s="1"/>
  <c r="S101"/>
  <c r="AG101" s="1"/>
  <c r="S100"/>
  <c r="AG100" s="1"/>
  <c r="S98"/>
  <c r="AG98" s="1"/>
  <c r="S96"/>
  <c r="AG96" s="1"/>
  <c r="S91"/>
  <c r="AG91" s="1"/>
  <c r="S89"/>
  <c r="AG89" s="1"/>
  <c r="S88"/>
  <c r="AG88" s="1"/>
  <c r="S87"/>
  <c r="AG87" s="1"/>
  <c r="S82"/>
  <c r="AG82" s="1"/>
  <c r="S77"/>
  <c r="AG77" s="1"/>
  <c r="S75"/>
  <c r="AG75" s="1"/>
  <c r="S68"/>
  <c r="AG68" s="1"/>
  <c r="S61"/>
  <c r="AG61" s="1"/>
  <c r="S59"/>
  <c r="AG59" s="1"/>
  <c r="S56"/>
  <c r="AG56" s="1"/>
  <c r="S55"/>
  <c r="AG55" s="1"/>
  <c r="S48"/>
  <c r="AG48" s="1"/>
  <c r="S46"/>
  <c r="AG46" s="1"/>
  <c r="S44"/>
  <c r="AG44" s="1"/>
  <c r="S42"/>
  <c r="AG42" s="1"/>
  <c r="S35"/>
  <c r="AG35" s="1"/>
  <c r="S40"/>
  <c r="AG40" s="1"/>
  <c r="S34"/>
  <c r="AG34" s="1"/>
  <c r="S33"/>
  <c r="S32"/>
  <c r="AG32" s="1"/>
  <c r="S30"/>
  <c r="AG30" s="1"/>
  <c r="S29"/>
  <c r="AG29" s="1"/>
  <c r="S28"/>
  <c r="AG28" s="1"/>
  <c r="S27"/>
  <c r="AG27" s="1"/>
  <c r="S26"/>
  <c r="AG26" s="1"/>
  <c r="S31"/>
  <c r="AG31" s="1"/>
  <c r="R161"/>
  <c r="R159"/>
  <c r="R156"/>
  <c r="R154"/>
  <c r="R152"/>
  <c r="R147"/>
  <c r="AF147" s="1"/>
  <c r="R146"/>
  <c r="AF146" s="1"/>
  <c r="R144"/>
  <c r="AF144" s="1"/>
  <c r="R143"/>
  <c r="AF143" s="1"/>
  <c r="R142"/>
  <c r="AF142" s="1"/>
  <c r="R141"/>
  <c r="AF141" s="1"/>
  <c r="R140"/>
  <c r="AF140" s="1"/>
  <c r="R139"/>
  <c r="AF139" s="1"/>
  <c r="R131"/>
  <c r="AF131" s="1"/>
  <c r="R129"/>
  <c r="AF129" s="1"/>
  <c r="R160"/>
  <c r="R158"/>
  <c r="R157"/>
  <c r="R155"/>
  <c r="R153"/>
  <c r="R145"/>
  <c r="AF145" s="1"/>
  <c r="R138"/>
  <c r="AF138" s="1"/>
  <c r="R133"/>
  <c r="AF133" s="1"/>
  <c r="R132"/>
  <c r="AF132" s="1"/>
  <c r="R130"/>
  <c r="AF130" s="1"/>
  <c r="R125"/>
  <c r="AF125" s="1"/>
  <c r="R117"/>
  <c r="AF117" s="1"/>
  <c r="R115"/>
  <c r="AF115" s="1"/>
  <c r="R112"/>
  <c r="AF112" s="1"/>
  <c r="R111"/>
  <c r="AF111" s="1"/>
  <c r="R105"/>
  <c r="AF105" s="1"/>
  <c r="R128"/>
  <c r="AF128" s="1"/>
  <c r="R127"/>
  <c r="AF127" s="1"/>
  <c r="R126"/>
  <c r="AF126" s="1"/>
  <c r="R124"/>
  <c r="AF124" s="1"/>
  <c r="R119"/>
  <c r="AF119" s="1"/>
  <c r="R118"/>
  <c r="AF118" s="1"/>
  <c r="R116"/>
  <c r="AF116" s="1"/>
  <c r="R114"/>
  <c r="AF114" s="1"/>
  <c r="R113"/>
  <c r="AF113" s="1"/>
  <c r="R110"/>
  <c r="AF110" s="1"/>
  <c r="R104"/>
  <c r="AF104" s="1"/>
  <c r="R103"/>
  <c r="AF103" s="1"/>
  <c r="R101"/>
  <c r="AF101" s="1"/>
  <c r="R100"/>
  <c r="AF100" s="1"/>
  <c r="R98"/>
  <c r="AF98" s="1"/>
  <c r="R96"/>
  <c r="AF96" s="1"/>
  <c r="R91"/>
  <c r="AF91" s="1"/>
  <c r="R89"/>
  <c r="AF89" s="1"/>
  <c r="R88"/>
  <c r="AF88" s="1"/>
  <c r="R87"/>
  <c r="AF87" s="1"/>
  <c r="R82"/>
  <c r="AF82" s="1"/>
  <c r="R77"/>
  <c r="AF77" s="1"/>
  <c r="R75"/>
  <c r="AF75" s="1"/>
  <c r="R68"/>
  <c r="AF68" s="1"/>
  <c r="R61"/>
  <c r="AF61" s="1"/>
  <c r="R59"/>
  <c r="AF59" s="1"/>
  <c r="R56"/>
  <c r="AF56" s="1"/>
  <c r="R55"/>
  <c r="AF55" s="1"/>
  <c r="R48"/>
  <c r="AF48" s="1"/>
  <c r="R46"/>
  <c r="AF46" s="1"/>
  <c r="R44"/>
  <c r="AF44" s="1"/>
  <c r="R42"/>
  <c r="AF42" s="1"/>
  <c r="R102"/>
  <c r="AF102" s="1"/>
  <c r="R99"/>
  <c r="AF99" s="1"/>
  <c r="R97"/>
  <c r="AF97" s="1"/>
  <c r="R90"/>
  <c r="AF90" s="1"/>
  <c r="R86"/>
  <c r="AF86" s="1"/>
  <c r="R85"/>
  <c r="AF85" s="1"/>
  <c r="R84"/>
  <c r="AF84" s="1"/>
  <c r="R83"/>
  <c r="AF83" s="1"/>
  <c r="R76"/>
  <c r="AF76" s="1"/>
  <c r="R74"/>
  <c r="AF74" s="1"/>
  <c r="R73"/>
  <c r="AF73" s="1"/>
  <c r="R72"/>
  <c r="AF72" s="1"/>
  <c r="R71"/>
  <c r="AF71" s="1"/>
  <c r="R70"/>
  <c r="AF70" s="1"/>
  <c r="R69"/>
  <c r="AF69" s="1"/>
  <c r="R63"/>
  <c r="AF63" s="1"/>
  <c r="R62"/>
  <c r="AF62" s="1"/>
  <c r="R60"/>
  <c r="AF60" s="1"/>
  <c r="R58"/>
  <c r="AF58" s="1"/>
  <c r="R57"/>
  <c r="AF57" s="1"/>
  <c r="R54"/>
  <c r="AF54" s="1"/>
  <c r="R49"/>
  <c r="AF49" s="1"/>
  <c r="R47"/>
  <c r="AF47" s="1"/>
  <c r="R45"/>
  <c r="AF45" s="1"/>
  <c r="R43"/>
  <c r="AF43" s="1"/>
  <c r="R41"/>
  <c r="AF41" s="1"/>
  <c r="R40"/>
  <c r="AF40" s="1"/>
  <c r="R35"/>
  <c r="AF35" s="1"/>
  <c r="R33"/>
  <c r="AF33" s="1"/>
  <c r="R34"/>
  <c r="AF34" s="1"/>
  <c r="R32"/>
  <c r="AF32" s="1"/>
  <c r="R31"/>
  <c r="AF31" s="1"/>
  <c r="R30"/>
  <c r="AF30" s="1"/>
  <c r="R29"/>
  <c r="AF29" s="1"/>
  <c r="R28"/>
  <c r="AF28" s="1"/>
  <c r="R27"/>
  <c r="AF27" s="1"/>
  <c r="R26"/>
  <c r="AF26" s="1"/>
  <c r="O161"/>
  <c r="O160"/>
  <c r="O158"/>
  <c r="O157"/>
  <c r="O155"/>
  <c r="O153"/>
  <c r="O145"/>
  <c r="AC145" s="1"/>
  <c r="O138"/>
  <c r="AC138" s="1"/>
  <c r="O133"/>
  <c r="AC133" s="1"/>
  <c r="O132"/>
  <c r="AC132" s="1"/>
  <c r="O130"/>
  <c r="AC130" s="1"/>
  <c r="O159"/>
  <c r="O156"/>
  <c r="O154"/>
  <c r="O152"/>
  <c r="O147"/>
  <c r="AC147" s="1"/>
  <c r="O146"/>
  <c r="AC146" s="1"/>
  <c r="O144"/>
  <c r="AC144" s="1"/>
  <c r="O143"/>
  <c r="AC143" s="1"/>
  <c r="O142"/>
  <c r="AC142" s="1"/>
  <c r="O141"/>
  <c r="AC141" s="1"/>
  <c r="O140"/>
  <c r="AC140" s="1"/>
  <c r="O139"/>
  <c r="AC139" s="1"/>
  <c r="O131"/>
  <c r="AC131" s="1"/>
  <c r="O128"/>
  <c r="AC128" s="1"/>
  <c r="O127"/>
  <c r="AC127" s="1"/>
  <c r="O126"/>
  <c r="AC126" s="1"/>
  <c r="O124"/>
  <c r="AC124" s="1"/>
  <c r="O119"/>
  <c r="AC119" s="1"/>
  <c r="O118"/>
  <c r="AC118" s="1"/>
  <c r="O116"/>
  <c r="AC116" s="1"/>
  <c r="O114"/>
  <c r="AC114" s="1"/>
  <c r="O113"/>
  <c r="AC113" s="1"/>
  <c r="O110"/>
  <c r="AC110" s="1"/>
  <c r="O104"/>
  <c r="AC104" s="1"/>
  <c r="O103"/>
  <c r="AC103" s="1"/>
  <c r="O129"/>
  <c r="AC129" s="1"/>
  <c r="O125"/>
  <c r="O117"/>
  <c r="AC117" s="1"/>
  <c r="O115"/>
  <c r="AC115" s="1"/>
  <c r="O112"/>
  <c r="AC112" s="1"/>
  <c r="O111"/>
  <c r="AC111" s="1"/>
  <c r="O105"/>
  <c r="AC105" s="1"/>
  <c r="O102"/>
  <c r="AC102" s="1"/>
  <c r="O99"/>
  <c r="AC99" s="1"/>
  <c r="O97"/>
  <c r="AC97" s="1"/>
  <c r="O90"/>
  <c r="AC90" s="1"/>
  <c r="O86"/>
  <c r="AC86" s="1"/>
  <c r="O85"/>
  <c r="O84"/>
  <c r="AC84" s="1"/>
  <c r="O83"/>
  <c r="AC83" s="1"/>
  <c r="O76"/>
  <c r="AC76" s="1"/>
  <c r="O74"/>
  <c r="AC74" s="1"/>
  <c r="O73"/>
  <c r="AC73" s="1"/>
  <c r="O72"/>
  <c r="AC72" s="1"/>
  <c r="O71"/>
  <c r="AC71" s="1"/>
  <c r="O70"/>
  <c r="AC70" s="1"/>
  <c r="O69"/>
  <c r="AC69" s="1"/>
  <c r="O63"/>
  <c r="AC63" s="1"/>
  <c r="O62"/>
  <c r="AC62" s="1"/>
  <c r="O60"/>
  <c r="AC60" s="1"/>
  <c r="O58"/>
  <c r="AC58" s="1"/>
  <c r="O57"/>
  <c r="AC57" s="1"/>
  <c r="O54"/>
  <c r="AC54" s="1"/>
  <c r="O49"/>
  <c r="AC49" s="1"/>
  <c r="O47"/>
  <c r="AC47" s="1"/>
  <c r="O45"/>
  <c r="AC45" s="1"/>
  <c r="O43"/>
  <c r="AC43" s="1"/>
  <c r="O41"/>
  <c r="AC41" s="1"/>
  <c r="O101"/>
  <c r="AC101" s="1"/>
  <c r="O100"/>
  <c r="AC100" s="1"/>
  <c r="O98"/>
  <c r="AC98" s="1"/>
  <c r="O96"/>
  <c r="AC96" s="1"/>
  <c r="O91"/>
  <c r="AC91" s="1"/>
  <c r="O89"/>
  <c r="AC89" s="1"/>
  <c r="O88"/>
  <c r="AC88" s="1"/>
  <c r="O87"/>
  <c r="AC87" s="1"/>
  <c r="O82"/>
  <c r="AC82" s="1"/>
  <c r="O77"/>
  <c r="AC77" s="1"/>
  <c r="O75"/>
  <c r="AC75" s="1"/>
  <c r="O68"/>
  <c r="AC68" s="1"/>
  <c r="O61"/>
  <c r="AC61" s="1"/>
  <c r="O59"/>
  <c r="AC59" s="1"/>
  <c r="O56"/>
  <c r="AC56" s="1"/>
  <c r="O55"/>
  <c r="AC55" s="1"/>
  <c r="O48"/>
  <c r="AC48" s="1"/>
  <c r="O46"/>
  <c r="AC46" s="1"/>
  <c r="O44"/>
  <c r="AC44" s="1"/>
  <c r="O42"/>
  <c r="AC42" s="1"/>
  <c r="O35"/>
  <c r="O40"/>
  <c r="AC40" s="1"/>
  <c r="O34"/>
  <c r="O33"/>
  <c r="O32"/>
  <c r="O30"/>
  <c r="AC30" s="1"/>
  <c r="O29"/>
  <c r="AC29" s="1"/>
  <c r="O28"/>
  <c r="AC28" s="1"/>
  <c r="O26"/>
  <c r="AC26" s="1"/>
  <c r="O31"/>
  <c r="O27"/>
  <c r="U161"/>
  <c r="U160"/>
  <c r="U158"/>
  <c r="U157"/>
  <c r="U155"/>
  <c r="U153"/>
  <c r="U145"/>
  <c r="AI145" s="1"/>
  <c r="U138"/>
  <c r="AI138" s="1"/>
  <c r="U133"/>
  <c r="AI133" s="1"/>
  <c r="U132"/>
  <c r="AI132" s="1"/>
  <c r="U130"/>
  <c r="AI130" s="1"/>
  <c r="U159"/>
  <c r="U156"/>
  <c r="U154"/>
  <c r="U152"/>
  <c r="U147"/>
  <c r="AI147" s="1"/>
  <c r="U146"/>
  <c r="AI146" s="1"/>
  <c r="U144"/>
  <c r="AI144" s="1"/>
  <c r="U143"/>
  <c r="AI143" s="1"/>
  <c r="U142"/>
  <c r="AI142" s="1"/>
  <c r="U141"/>
  <c r="AI141" s="1"/>
  <c r="U140"/>
  <c r="AI140" s="1"/>
  <c r="U139"/>
  <c r="AI139" s="1"/>
  <c r="U131"/>
  <c r="AI131" s="1"/>
  <c r="U129"/>
  <c r="AI129" s="1"/>
  <c r="U128"/>
  <c r="AI128" s="1"/>
  <c r="U127"/>
  <c r="AI127" s="1"/>
  <c r="U126"/>
  <c r="AI126" s="1"/>
  <c r="U124"/>
  <c r="AI124" s="1"/>
  <c r="U119"/>
  <c r="AI119" s="1"/>
  <c r="U118"/>
  <c r="AI118" s="1"/>
  <c r="U116"/>
  <c r="AI116" s="1"/>
  <c r="U114"/>
  <c r="AI114" s="1"/>
  <c r="U113"/>
  <c r="AI113" s="1"/>
  <c r="U110"/>
  <c r="AI110" s="1"/>
  <c r="U104"/>
  <c r="AI104" s="1"/>
  <c r="U103"/>
  <c r="AI103" s="1"/>
  <c r="U125"/>
  <c r="AI125" s="1"/>
  <c r="U117"/>
  <c r="AI117" s="1"/>
  <c r="U115"/>
  <c r="AI115" s="1"/>
  <c r="U112"/>
  <c r="AI112" s="1"/>
  <c r="U111"/>
  <c r="AI111" s="1"/>
  <c r="U105"/>
  <c r="AI105" s="1"/>
  <c r="U102"/>
  <c r="AI102" s="1"/>
  <c r="U99"/>
  <c r="AI99" s="1"/>
  <c r="U97"/>
  <c r="AI97" s="1"/>
  <c r="U101"/>
  <c r="AI101" s="1"/>
  <c r="U100"/>
  <c r="AI100" s="1"/>
  <c r="U98"/>
  <c r="AI98" s="1"/>
  <c r="U90"/>
  <c r="AI90" s="1"/>
  <c r="U86"/>
  <c r="AI86" s="1"/>
  <c r="U85"/>
  <c r="AI85" s="1"/>
  <c r="U84"/>
  <c r="AI84" s="1"/>
  <c r="U83"/>
  <c r="AI83" s="1"/>
  <c r="U76"/>
  <c r="AI76" s="1"/>
  <c r="U74"/>
  <c r="AI74" s="1"/>
  <c r="U73"/>
  <c r="AI73" s="1"/>
  <c r="U72"/>
  <c r="AI72" s="1"/>
  <c r="U71"/>
  <c r="AI71" s="1"/>
  <c r="U70"/>
  <c r="AI70" s="1"/>
  <c r="U69"/>
  <c r="AI69" s="1"/>
  <c r="U63"/>
  <c r="AI63" s="1"/>
  <c r="U62"/>
  <c r="AI62" s="1"/>
  <c r="U60"/>
  <c r="AI60" s="1"/>
  <c r="U58"/>
  <c r="AI58" s="1"/>
  <c r="U57"/>
  <c r="AI57" s="1"/>
  <c r="U54"/>
  <c r="AI54" s="1"/>
  <c r="U49"/>
  <c r="AI49" s="1"/>
  <c r="U47"/>
  <c r="AI47" s="1"/>
  <c r="U45"/>
  <c r="AI45" s="1"/>
  <c r="U43"/>
  <c r="AI43" s="1"/>
  <c r="U41"/>
  <c r="AI41" s="1"/>
  <c r="U96"/>
  <c r="AI96" s="1"/>
  <c r="U91"/>
  <c r="AI91" s="1"/>
  <c r="U89"/>
  <c r="AI89" s="1"/>
  <c r="U88"/>
  <c r="AI88" s="1"/>
  <c r="U87"/>
  <c r="AI87" s="1"/>
  <c r="U82"/>
  <c r="AI82" s="1"/>
  <c r="U77"/>
  <c r="AI77" s="1"/>
  <c r="U75"/>
  <c r="AI75" s="1"/>
  <c r="U68"/>
  <c r="AI68" s="1"/>
  <c r="U61"/>
  <c r="AI61" s="1"/>
  <c r="U59"/>
  <c r="AI59" s="1"/>
  <c r="U56"/>
  <c r="AI56" s="1"/>
  <c r="U55"/>
  <c r="AI55" s="1"/>
  <c r="U48"/>
  <c r="AI48" s="1"/>
  <c r="U46"/>
  <c r="AI46" s="1"/>
  <c r="U44"/>
  <c r="AI44" s="1"/>
  <c r="U42"/>
  <c r="AI42" s="1"/>
  <c r="U40"/>
  <c r="AI40" s="1"/>
  <c r="U35"/>
  <c r="U34"/>
  <c r="AI34" s="1"/>
  <c r="U33"/>
  <c r="AI33" s="1"/>
  <c r="U32"/>
  <c r="AI32" s="1"/>
  <c r="U30"/>
  <c r="AI30" s="1"/>
  <c r="U29"/>
  <c r="AI29" s="1"/>
  <c r="U28"/>
  <c r="AI28" s="1"/>
  <c r="U27"/>
  <c r="AI27" s="1"/>
  <c r="U31"/>
  <c r="U26"/>
  <c r="AI26" s="1"/>
  <c r="P161"/>
  <c r="P159"/>
  <c r="P156"/>
  <c r="P154"/>
  <c r="P152"/>
  <c r="P147"/>
  <c r="AD147" s="1"/>
  <c r="P146"/>
  <c r="AD146" s="1"/>
  <c r="P144"/>
  <c r="AD144" s="1"/>
  <c r="P143"/>
  <c r="AD143" s="1"/>
  <c r="P142"/>
  <c r="AD142" s="1"/>
  <c r="P141"/>
  <c r="AD141" s="1"/>
  <c r="P140"/>
  <c r="AD140" s="1"/>
  <c r="P139"/>
  <c r="AD139" s="1"/>
  <c r="P131"/>
  <c r="AD131" s="1"/>
  <c r="P129"/>
  <c r="AD129" s="1"/>
  <c r="P160"/>
  <c r="P158"/>
  <c r="P157"/>
  <c r="P155"/>
  <c r="P153"/>
  <c r="P145"/>
  <c r="AD145" s="1"/>
  <c r="P138"/>
  <c r="AD138" s="1"/>
  <c r="P133"/>
  <c r="AD133" s="1"/>
  <c r="P132"/>
  <c r="AD132" s="1"/>
  <c r="P130"/>
  <c r="AD130" s="1"/>
  <c r="P125"/>
  <c r="AD125" s="1"/>
  <c r="AC125" s="1"/>
  <c r="P117"/>
  <c r="AD117" s="1"/>
  <c r="P115"/>
  <c r="AD115" s="1"/>
  <c r="P112"/>
  <c r="AD112" s="1"/>
  <c r="P111"/>
  <c r="AD111" s="1"/>
  <c r="P105"/>
  <c r="AD105" s="1"/>
  <c r="P128"/>
  <c r="AD128" s="1"/>
  <c r="P127"/>
  <c r="AD127" s="1"/>
  <c r="P126"/>
  <c r="AD126" s="1"/>
  <c r="P124"/>
  <c r="AD124" s="1"/>
  <c r="P119"/>
  <c r="AD119" s="1"/>
  <c r="P118"/>
  <c r="AD118" s="1"/>
  <c r="P116"/>
  <c r="AD116" s="1"/>
  <c r="P114"/>
  <c r="AD114" s="1"/>
  <c r="P113"/>
  <c r="AD113" s="1"/>
  <c r="P110"/>
  <c r="AD110" s="1"/>
  <c r="P104"/>
  <c r="AD104" s="1"/>
  <c r="P103"/>
  <c r="AD103" s="1"/>
  <c r="P101"/>
  <c r="AD101" s="1"/>
  <c r="P100"/>
  <c r="AD100" s="1"/>
  <c r="P98"/>
  <c r="AD98" s="1"/>
  <c r="P102"/>
  <c r="AD102" s="1"/>
  <c r="P99"/>
  <c r="AD99" s="1"/>
  <c r="P96"/>
  <c r="AD96" s="1"/>
  <c r="P91"/>
  <c r="AD91" s="1"/>
  <c r="P89"/>
  <c r="AD89" s="1"/>
  <c r="P88"/>
  <c r="AD88" s="1"/>
  <c r="P87"/>
  <c r="AD87" s="1"/>
  <c r="P82"/>
  <c r="AD82" s="1"/>
  <c r="P77"/>
  <c r="AD77" s="1"/>
  <c r="P75"/>
  <c r="AD75" s="1"/>
  <c r="P68"/>
  <c r="AD68" s="1"/>
  <c r="P61"/>
  <c r="AD61" s="1"/>
  <c r="P59"/>
  <c r="AD59" s="1"/>
  <c r="P56"/>
  <c r="AD56" s="1"/>
  <c r="P55"/>
  <c r="AD55" s="1"/>
  <c r="P48"/>
  <c r="AD48" s="1"/>
  <c r="P46"/>
  <c r="AD46" s="1"/>
  <c r="P44"/>
  <c r="AD44" s="1"/>
  <c r="P42"/>
  <c r="AD42" s="1"/>
  <c r="P97"/>
  <c r="AD97" s="1"/>
  <c r="P90"/>
  <c r="AD90" s="1"/>
  <c r="P86"/>
  <c r="AD86" s="1"/>
  <c r="P85"/>
  <c r="AD85" s="1"/>
  <c r="AC85" s="1"/>
  <c r="P84"/>
  <c r="AD84" s="1"/>
  <c r="P83"/>
  <c r="AD83" s="1"/>
  <c r="P76"/>
  <c r="AD76" s="1"/>
  <c r="P74"/>
  <c r="AD74" s="1"/>
  <c r="P73"/>
  <c r="AD73" s="1"/>
  <c r="P72"/>
  <c r="AD72" s="1"/>
  <c r="P71"/>
  <c r="AD71" s="1"/>
  <c r="P70"/>
  <c r="AD70" s="1"/>
  <c r="P69"/>
  <c r="AD69" s="1"/>
  <c r="P63"/>
  <c r="AD63" s="1"/>
  <c r="P62"/>
  <c r="AD62" s="1"/>
  <c r="P60"/>
  <c r="AD60" s="1"/>
  <c r="P58"/>
  <c r="AD58" s="1"/>
  <c r="P57"/>
  <c r="AD57" s="1"/>
  <c r="P54"/>
  <c r="AD54" s="1"/>
  <c r="P49"/>
  <c r="AD49" s="1"/>
  <c r="P47"/>
  <c r="AD47" s="1"/>
  <c r="P45"/>
  <c r="AD45" s="1"/>
  <c r="P43"/>
  <c r="AD43" s="1"/>
  <c r="P41"/>
  <c r="AD41" s="1"/>
  <c r="P40"/>
  <c r="AD40" s="1"/>
  <c r="P35"/>
  <c r="AD35" s="1"/>
  <c r="P34"/>
  <c r="AD34" s="1"/>
  <c r="AC34" s="1"/>
  <c r="P33"/>
  <c r="AD33" s="1"/>
  <c r="AC33" s="1"/>
  <c r="P32"/>
  <c r="AD32" s="1"/>
  <c r="AC32" s="1"/>
  <c r="P31"/>
  <c r="AD31" s="1"/>
  <c r="AC31" s="1"/>
  <c r="P30"/>
  <c r="AD30" s="1"/>
  <c r="P29"/>
  <c r="AD29" s="1"/>
  <c r="P28"/>
  <c r="AD28" s="1"/>
  <c r="P27"/>
  <c r="AD27" s="1"/>
  <c r="P26"/>
  <c r="AD26" s="1"/>
  <c r="T161"/>
  <c r="T159"/>
  <c r="T156"/>
  <c r="T154"/>
  <c r="T152"/>
  <c r="T147"/>
  <c r="AH147" s="1"/>
  <c r="T146"/>
  <c r="AH146" s="1"/>
  <c r="T144"/>
  <c r="AH144" s="1"/>
  <c r="T143"/>
  <c r="AH143" s="1"/>
  <c r="T142"/>
  <c r="AH142" s="1"/>
  <c r="T141"/>
  <c r="AH141" s="1"/>
  <c r="T140"/>
  <c r="AH140" s="1"/>
  <c r="T139"/>
  <c r="AH139" s="1"/>
  <c r="T131"/>
  <c r="AH131" s="1"/>
  <c r="T129"/>
  <c r="AH129" s="1"/>
  <c r="T160"/>
  <c r="T158"/>
  <c r="T157"/>
  <c r="T155"/>
  <c r="T153"/>
  <c r="T145"/>
  <c r="AH145" s="1"/>
  <c r="T138"/>
  <c r="AH138" s="1"/>
  <c r="T133"/>
  <c r="AH133" s="1"/>
  <c r="T132"/>
  <c r="AH132" s="1"/>
  <c r="T130"/>
  <c r="AH130" s="1"/>
  <c r="T125"/>
  <c r="AH125" s="1"/>
  <c r="T117"/>
  <c r="AH117" s="1"/>
  <c r="T115"/>
  <c r="AH115" s="1"/>
  <c r="T112"/>
  <c r="AH112" s="1"/>
  <c r="T111"/>
  <c r="AH111" s="1"/>
  <c r="T105"/>
  <c r="AH105" s="1"/>
  <c r="T128"/>
  <c r="AH128" s="1"/>
  <c r="T127"/>
  <c r="AH127" s="1"/>
  <c r="T126"/>
  <c r="AH126" s="1"/>
  <c r="T124"/>
  <c r="AH124" s="1"/>
  <c r="T119"/>
  <c r="AH119" s="1"/>
  <c r="T118"/>
  <c r="AH118" s="1"/>
  <c r="T116"/>
  <c r="AH116" s="1"/>
  <c r="T114"/>
  <c r="AH114" s="1"/>
  <c r="T113"/>
  <c r="AH113" s="1"/>
  <c r="T110"/>
  <c r="AH110" s="1"/>
  <c r="T104"/>
  <c r="AH104" s="1"/>
  <c r="T103"/>
  <c r="AH103" s="1"/>
  <c r="T101"/>
  <c r="AH101" s="1"/>
  <c r="T100"/>
  <c r="AH100" s="1"/>
  <c r="T98"/>
  <c r="AH98" s="1"/>
  <c r="T102"/>
  <c r="AH102" s="1"/>
  <c r="T99"/>
  <c r="AH99" s="1"/>
  <c r="T97"/>
  <c r="AH97" s="1"/>
  <c r="T96"/>
  <c r="AH96" s="1"/>
  <c r="T91"/>
  <c r="AH91" s="1"/>
  <c r="T89"/>
  <c r="AH89" s="1"/>
  <c r="T88"/>
  <c r="AH88" s="1"/>
  <c r="T87"/>
  <c r="AH87" s="1"/>
  <c r="T82"/>
  <c r="AH82" s="1"/>
  <c r="T77"/>
  <c r="AH77" s="1"/>
  <c r="T75"/>
  <c r="AH75" s="1"/>
  <c r="T68"/>
  <c r="AH68" s="1"/>
  <c r="T61"/>
  <c r="AH61" s="1"/>
  <c r="T59"/>
  <c r="AH59" s="1"/>
  <c r="T56"/>
  <c r="AH56" s="1"/>
  <c r="T55"/>
  <c r="AH55" s="1"/>
  <c r="T48"/>
  <c r="AH48" s="1"/>
  <c r="T46"/>
  <c r="AH46" s="1"/>
  <c r="T44"/>
  <c r="AH44" s="1"/>
  <c r="T42"/>
  <c r="AH42" s="1"/>
  <c r="T90"/>
  <c r="AH90" s="1"/>
  <c r="T86"/>
  <c r="AH86" s="1"/>
  <c r="T85"/>
  <c r="AH85" s="1"/>
  <c r="T84"/>
  <c r="AH84" s="1"/>
  <c r="T83"/>
  <c r="AH83" s="1"/>
  <c r="T76"/>
  <c r="AH76" s="1"/>
  <c r="T74"/>
  <c r="AH74" s="1"/>
  <c r="T73"/>
  <c r="AH73" s="1"/>
  <c r="T72"/>
  <c r="AH72" s="1"/>
  <c r="T71"/>
  <c r="AH71" s="1"/>
  <c r="T70"/>
  <c r="AH70" s="1"/>
  <c r="T69"/>
  <c r="AH69" s="1"/>
  <c r="T63"/>
  <c r="AH63" s="1"/>
  <c r="T62"/>
  <c r="AH62" s="1"/>
  <c r="T60"/>
  <c r="AH60" s="1"/>
  <c r="T58"/>
  <c r="AH58" s="1"/>
  <c r="T57"/>
  <c r="AH57" s="1"/>
  <c r="T54"/>
  <c r="AH54" s="1"/>
  <c r="T49"/>
  <c r="AH49" s="1"/>
  <c r="T47"/>
  <c r="AH47" s="1"/>
  <c r="T45"/>
  <c r="AH45" s="1"/>
  <c r="T43"/>
  <c r="AH43" s="1"/>
  <c r="T41"/>
  <c r="AH41" s="1"/>
  <c r="T40"/>
  <c r="AH40" s="1"/>
  <c r="T35"/>
  <c r="AH35" s="1"/>
  <c r="T34"/>
  <c r="AH34" s="1"/>
  <c r="T33"/>
  <c r="AH33" s="1"/>
  <c r="AG33" s="1"/>
  <c r="T32"/>
  <c r="AH32" s="1"/>
  <c r="T31"/>
  <c r="AH31" s="1"/>
  <c r="T30"/>
  <c r="AH30" s="1"/>
  <c r="T29"/>
  <c r="AH29" s="1"/>
  <c r="T28"/>
  <c r="AH28" s="1"/>
  <c r="T27"/>
  <c r="AH27" s="1"/>
  <c r="T26"/>
  <c r="AH26" s="1"/>
  <c r="Q161"/>
  <c r="Q160"/>
  <c r="Q158"/>
  <c r="Q157"/>
  <c r="Q155"/>
  <c r="Q153"/>
  <c r="Q145"/>
  <c r="AE145" s="1"/>
  <c r="Q138"/>
  <c r="AE138" s="1"/>
  <c r="Q133"/>
  <c r="AE133" s="1"/>
  <c r="Q132"/>
  <c r="AE132" s="1"/>
  <c r="Q130"/>
  <c r="AE130" s="1"/>
  <c r="Q159"/>
  <c r="Q156"/>
  <c r="Q154"/>
  <c r="Q152"/>
  <c r="Q147"/>
  <c r="AE147" s="1"/>
  <c r="Q146"/>
  <c r="AE146" s="1"/>
  <c r="Q144"/>
  <c r="AE144" s="1"/>
  <c r="Q143"/>
  <c r="AE143" s="1"/>
  <c r="Q142"/>
  <c r="AE142" s="1"/>
  <c r="Q141"/>
  <c r="AE141" s="1"/>
  <c r="Q140"/>
  <c r="AE140" s="1"/>
  <c r="Q139"/>
  <c r="AE139" s="1"/>
  <c r="Q131"/>
  <c r="AE131" s="1"/>
  <c r="Q129"/>
  <c r="AE129" s="1"/>
  <c r="Q128"/>
  <c r="AE128" s="1"/>
  <c r="Q127"/>
  <c r="AE127" s="1"/>
  <c r="Q126"/>
  <c r="AE126" s="1"/>
  <c r="Q124"/>
  <c r="AE124" s="1"/>
  <c r="Q119"/>
  <c r="AE119" s="1"/>
  <c r="Q118"/>
  <c r="AE118" s="1"/>
  <c r="Q116"/>
  <c r="AE116" s="1"/>
  <c r="Q114"/>
  <c r="AE114" s="1"/>
  <c r="Q113"/>
  <c r="AE113" s="1"/>
  <c r="Q110"/>
  <c r="AE110" s="1"/>
  <c r="Q104"/>
  <c r="AE104" s="1"/>
  <c r="Q103"/>
  <c r="AE103" s="1"/>
  <c r="Q125"/>
  <c r="AE125" s="1"/>
  <c r="Q117"/>
  <c r="AE117" s="1"/>
  <c r="Q115"/>
  <c r="AE115" s="1"/>
  <c r="Q112"/>
  <c r="AE112" s="1"/>
  <c r="Q111"/>
  <c r="AE111" s="1"/>
  <c r="Q105"/>
  <c r="AE105" s="1"/>
  <c r="Q102"/>
  <c r="AE102" s="1"/>
  <c r="Q99"/>
  <c r="AE99" s="1"/>
  <c r="Q101"/>
  <c r="AE101" s="1"/>
  <c r="Q100"/>
  <c r="AE100" s="1"/>
  <c r="Q98"/>
  <c r="AE98" s="1"/>
  <c r="Q97"/>
  <c r="AE97" s="1"/>
  <c r="Q90"/>
  <c r="AE90" s="1"/>
  <c r="Q86"/>
  <c r="AE86" s="1"/>
  <c r="Q85"/>
  <c r="AE85" s="1"/>
  <c r="Q84"/>
  <c r="AE84" s="1"/>
  <c r="Q83"/>
  <c r="AE83" s="1"/>
  <c r="Q76"/>
  <c r="AE76" s="1"/>
  <c r="Q74"/>
  <c r="AE74" s="1"/>
  <c r="Q73"/>
  <c r="AE73" s="1"/>
  <c r="Q72"/>
  <c r="AE72" s="1"/>
  <c r="Q71"/>
  <c r="AE71" s="1"/>
  <c r="Q70"/>
  <c r="AE70" s="1"/>
  <c r="Q69"/>
  <c r="AE69" s="1"/>
  <c r="Q63"/>
  <c r="AE63" s="1"/>
  <c r="Q62"/>
  <c r="AE62" s="1"/>
  <c r="Q60"/>
  <c r="AE60" s="1"/>
  <c r="Q58"/>
  <c r="AE58" s="1"/>
  <c r="Q57"/>
  <c r="AE57" s="1"/>
  <c r="Q54"/>
  <c r="AE54" s="1"/>
  <c r="Q49"/>
  <c r="AE49" s="1"/>
  <c r="Q47"/>
  <c r="AE47" s="1"/>
  <c r="Q45"/>
  <c r="AE45" s="1"/>
  <c r="Q43"/>
  <c r="AE43" s="1"/>
  <c r="Q41"/>
  <c r="AE41" s="1"/>
  <c r="Q96"/>
  <c r="AE96" s="1"/>
  <c r="Q91"/>
  <c r="AE91" s="1"/>
  <c r="Q89"/>
  <c r="AE89" s="1"/>
  <c r="Q88"/>
  <c r="AE88" s="1"/>
  <c r="Q87"/>
  <c r="AE87" s="1"/>
  <c r="Q82"/>
  <c r="AE82" s="1"/>
  <c r="Q77"/>
  <c r="AE77" s="1"/>
  <c r="Q75"/>
  <c r="AE75" s="1"/>
  <c r="Q68"/>
  <c r="AE68" s="1"/>
  <c r="Q61"/>
  <c r="AE61" s="1"/>
  <c r="Q59"/>
  <c r="AE59" s="1"/>
  <c r="Q56"/>
  <c r="AE56" s="1"/>
  <c r="Q55"/>
  <c r="AE55" s="1"/>
  <c r="Q48"/>
  <c r="AE48" s="1"/>
  <c r="Q46"/>
  <c r="AE46" s="1"/>
  <c r="Q44"/>
  <c r="AE44" s="1"/>
  <c r="Q42"/>
  <c r="AE42" s="1"/>
  <c r="Q40"/>
  <c r="AE40" s="1"/>
  <c r="Q35"/>
  <c r="Q34"/>
  <c r="AE34" s="1"/>
  <c r="Q33"/>
  <c r="AE33" s="1"/>
  <c r="Q32"/>
  <c r="AE32" s="1"/>
  <c r="Q30"/>
  <c r="AE30" s="1"/>
  <c r="Q29"/>
  <c r="AE29" s="1"/>
  <c r="Q28"/>
  <c r="AE28" s="1"/>
  <c r="Q27"/>
  <c r="Q31"/>
  <c r="AE31" s="1"/>
  <c r="Q26"/>
  <c r="AE26" s="1"/>
  <c r="M161"/>
  <c r="M160"/>
  <c r="M158"/>
  <c r="M157"/>
  <c r="M155"/>
  <c r="M153"/>
  <c r="M145"/>
  <c r="AA145" s="1"/>
  <c r="M138"/>
  <c r="AA138" s="1"/>
  <c r="M133"/>
  <c r="AA133" s="1"/>
  <c r="M132"/>
  <c r="AA132" s="1"/>
  <c r="M130"/>
  <c r="AA130" s="1"/>
  <c r="M159"/>
  <c r="M156"/>
  <c r="M154"/>
  <c r="M152"/>
  <c r="M147"/>
  <c r="AA147" s="1"/>
  <c r="M146"/>
  <c r="AA146" s="1"/>
  <c r="M144"/>
  <c r="AA144" s="1"/>
  <c r="M143"/>
  <c r="AA143" s="1"/>
  <c r="M142"/>
  <c r="AA142" s="1"/>
  <c r="M141"/>
  <c r="AA141" s="1"/>
  <c r="M140"/>
  <c r="AA140" s="1"/>
  <c r="M139"/>
  <c r="AA139" s="1"/>
  <c r="M131"/>
  <c r="AA131" s="1"/>
  <c r="M129"/>
  <c r="AA129" s="1"/>
  <c r="M128"/>
  <c r="AA128" s="1"/>
  <c r="M127"/>
  <c r="AA127" s="1"/>
  <c r="M126"/>
  <c r="AA126" s="1"/>
  <c r="M124"/>
  <c r="AA124" s="1"/>
  <c r="M119"/>
  <c r="AA119" s="1"/>
  <c r="M118"/>
  <c r="AA118" s="1"/>
  <c r="M116"/>
  <c r="AA116" s="1"/>
  <c r="M114"/>
  <c r="AA114" s="1"/>
  <c r="M113"/>
  <c r="AA113" s="1"/>
  <c r="M110"/>
  <c r="AA110" s="1"/>
  <c r="M104"/>
  <c r="AA104" s="1"/>
  <c r="M103"/>
  <c r="AA103" s="1"/>
  <c r="M125"/>
  <c r="AA125" s="1"/>
  <c r="M117"/>
  <c r="AA117" s="1"/>
  <c r="M115"/>
  <c r="AA115" s="1"/>
  <c r="M112"/>
  <c r="AA112" s="1"/>
  <c r="M111"/>
  <c r="AA111" s="1"/>
  <c r="M105"/>
  <c r="AA105" s="1"/>
  <c r="M102"/>
  <c r="AA102" s="1"/>
  <c r="M99"/>
  <c r="AA99" s="1"/>
  <c r="M101"/>
  <c r="AA101" s="1"/>
  <c r="M100"/>
  <c r="AA100" s="1"/>
  <c r="M98"/>
  <c r="AA98" s="1"/>
  <c r="M97"/>
  <c r="AA97" s="1"/>
  <c r="M90"/>
  <c r="AA90" s="1"/>
  <c r="M86"/>
  <c r="AA86" s="1"/>
  <c r="M85"/>
  <c r="AA85" s="1"/>
  <c r="M84"/>
  <c r="AA84" s="1"/>
  <c r="M83"/>
  <c r="AA83" s="1"/>
  <c r="M76"/>
  <c r="AA76" s="1"/>
  <c r="M74"/>
  <c r="AA74" s="1"/>
  <c r="M73"/>
  <c r="AA73" s="1"/>
  <c r="M72"/>
  <c r="AA72" s="1"/>
  <c r="M71"/>
  <c r="AA71" s="1"/>
  <c r="M70"/>
  <c r="AA70" s="1"/>
  <c r="M69"/>
  <c r="AA69" s="1"/>
  <c r="M63"/>
  <c r="AA63" s="1"/>
  <c r="M62"/>
  <c r="AA62" s="1"/>
  <c r="M60"/>
  <c r="AA60" s="1"/>
  <c r="M58"/>
  <c r="AA58" s="1"/>
  <c r="M57"/>
  <c r="AA57" s="1"/>
  <c r="M54"/>
  <c r="AA54" s="1"/>
  <c r="M49"/>
  <c r="AA49" s="1"/>
  <c r="M47"/>
  <c r="AA47" s="1"/>
  <c r="M45"/>
  <c r="AA45" s="1"/>
  <c r="M43"/>
  <c r="AA43" s="1"/>
  <c r="M41"/>
  <c r="AA41" s="1"/>
  <c r="M96"/>
  <c r="AA96" s="1"/>
  <c r="M91"/>
  <c r="AA91" s="1"/>
  <c r="M89"/>
  <c r="AA89" s="1"/>
  <c r="M88"/>
  <c r="AA88" s="1"/>
  <c r="M87"/>
  <c r="AA87" s="1"/>
  <c r="M82"/>
  <c r="AA82" s="1"/>
  <c r="M77"/>
  <c r="AA77" s="1"/>
  <c r="M75"/>
  <c r="AA75" s="1"/>
  <c r="M68"/>
  <c r="AA68" s="1"/>
  <c r="M61"/>
  <c r="AA61" s="1"/>
  <c r="M59"/>
  <c r="AA59" s="1"/>
  <c r="M56"/>
  <c r="AA56" s="1"/>
  <c r="M55"/>
  <c r="AA55" s="1"/>
  <c r="M48"/>
  <c r="AA48" s="1"/>
  <c r="M46"/>
  <c r="AA46" s="1"/>
  <c r="M44"/>
  <c r="AA44" s="1"/>
  <c r="M42"/>
  <c r="AA42" s="1"/>
  <c r="M40"/>
  <c r="AA40" s="1"/>
  <c r="M35"/>
  <c r="AA35" s="1"/>
  <c r="M34"/>
  <c r="M33"/>
  <c r="M32"/>
  <c r="AA32" s="1"/>
  <c r="M30"/>
  <c r="M29"/>
  <c r="M28"/>
  <c r="M27"/>
  <c r="AA27" s="1"/>
  <c r="M31"/>
  <c r="M26"/>
  <c r="AA26" s="1"/>
  <c r="N161"/>
  <c r="N159"/>
  <c r="N156"/>
  <c r="N154"/>
  <c r="N152"/>
  <c r="N147"/>
  <c r="AB147" s="1"/>
  <c r="N146"/>
  <c r="AB146" s="1"/>
  <c r="N144"/>
  <c r="AB144" s="1"/>
  <c r="N143"/>
  <c r="AB143" s="1"/>
  <c r="N142"/>
  <c r="AB142" s="1"/>
  <c r="N141"/>
  <c r="AB141" s="1"/>
  <c r="N140"/>
  <c r="AB140" s="1"/>
  <c r="N139"/>
  <c r="AB139" s="1"/>
  <c r="N131"/>
  <c r="AB131" s="1"/>
  <c r="N129"/>
  <c r="AB129" s="1"/>
  <c r="N160"/>
  <c r="N158"/>
  <c r="N157"/>
  <c r="N155"/>
  <c r="N153"/>
  <c r="N145"/>
  <c r="AB145" s="1"/>
  <c r="N138"/>
  <c r="AB138" s="1"/>
  <c r="N133"/>
  <c r="AB133" s="1"/>
  <c r="N132"/>
  <c r="AB132" s="1"/>
  <c r="N130"/>
  <c r="AB130" s="1"/>
  <c r="N125"/>
  <c r="AB125" s="1"/>
  <c r="N117"/>
  <c r="AB117" s="1"/>
  <c r="N115"/>
  <c r="AB115" s="1"/>
  <c r="N112"/>
  <c r="AB112" s="1"/>
  <c r="N111"/>
  <c r="AB111" s="1"/>
  <c r="N105"/>
  <c r="AB105" s="1"/>
  <c r="N128"/>
  <c r="AB128" s="1"/>
  <c r="N127"/>
  <c r="AB127" s="1"/>
  <c r="N126"/>
  <c r="AB126" s="1"/>
  <c r="N124"/>
  <c r="AB124" s="1"/>
  <c r="N119"/>
  <c r="AB119" s="1"/>
  <c r="N118"/>
  <c r="AB118" s="1"/>
  <c r="N116"/>
  <c r="AB116" s="1"/>
  <c r="N114"/>
  <c r="AB114" s="1"/>
  <c r="N113"/>
  <c r="AB113" s="1"/>
  <c r="N110"/>
  <c r="AB110" s="1"/>
  <c r="N104"/>
  <c r="AB104" s="1"/>
  <c r="N103"/>
  <c r="AB103" s="1"/>
  <c r="N101"/>
  <c r="AB101" s="1"/>
  <c r="N100"/>
  <c r="AB100" s="1"/>
  <c r="N98"/>
  <c r="AB98" s="1"/>
  <c r="N96"/>
  <c r="AB96" s="1"/>
  <c r="N91"/>
  <c r="AB91" s="1"/>
  <c r="N89"/>
  <c r="AB89" s="1"/>
  <c r="N88"/>
  <c r="AB88" s="1"/>
  <c r="N87"/>
  <c r="AB87" s="1"/>
  <c r="N82"/>
  <c r="AB82" s="1"/>
  <c r="N77"/>
  <c r="AB77" s="1"/>
  <c r="N75"/>
  <c r="AB75" s="1"/>
  <c r="N68"/>
  <c r="AB68" s="1"/>
  <c r="N61"/>
  <c r="AB61" s="1"/>
  <c r="N59"/>
  <c r="AB59" s="1"/>
  <c r="N56"/>
  <c r="AB56" s="1"/>
  <c r="N55"/>
  <c r="AB55" s="1"/>
  <c r="N48"/>
  <c r="AB48" s="1"/>
  <c r="N46"/>
  <c r="AB46" s="1"/>
  <c r="N44"/>
  <c r="AB44" s="1"/>
  <c r="N42"/>
  <c r="AB42" s="1"/>
  <c r="N102"/>
  <c r="AB102" s="1"/>
  <c r="N99"/>
  <c r="AB99" s="1"/>
  <c r="N97"/>
  <c r="AB97" s="1"/>
  <c r="N90"/>
  <c r="AB90" s="1"/>
  <c r="N86"/>
  <c r="AB86" s="1"/>
  <c r="N85"/>
  <c r="AB85" s="1"/>
  <c r="N84"/>
  <c r="AB84" s="1"/>
  <c r="N83"/>
  <c r="AB83" s="1"/>
  <c r="N76"/>
  <c r="AB76" s="1"/>
  <c r="N74"/>
  <c r="AB74" s="1"/>
  <c r="N73"/>
  <c r="AB73" s="1"/>
  <c r="N72"/>
  <c r="AB72" s="1"/>
  <c r="N71"/>
  <c r="AB71" s="1"/>
  <c r="N70"/>
  <c r="AB70" s="1"/>
  <c r="N69"/>
  <c r="AB69" s="1"/>
  <c r="N63"/>
  <c r="AB63" s="1"/>
  <c r="N62"/>
  <c r="AB62" s="1"/>
  <c r="N60"/>
  <c r="AB60" s="1"/>
  <c r="N58"/>
  <c r="AB58" s="1"/>
  <c r="N57"/>
  <c r="AB57" s="1"/>
  <c r="N54"/>
  <c r="AB54" s="1"/>
  <c r="N49"/>
  <c r="AB49" s="1"/>
  <c r="N47"/>
  <c r="AB47" s="1"/>
  <c r="N45"/>
  <c r="AB45" s="1"/>
  <c r="N43"/>
  <c r="AB43" s="1"/>
  <c r="N41"/>
  <c r="AB41" s="1"/>
  <c r="N40"/>
  <c r="AB40" s="1"/>
  <c r="N35"/>
  <c r="AB35" s="1"/>
  <c r="N34"/>
  <c r="N33"/>
  <c r="N31"/>
  <c r="N30"/>
  <c r="N29"/>
  <c r="N28"/>
  <c r="AB28" s="1"/>
  <c r="AA28" s="1"/>
  <c r="N27"/>
  <c r="N26"/>
  <c r="AB26" s="1"/>
  <c r="V161"/>
  <c r="V159"/>
  <c r="V156"/>
  <c r="V154"/>
  <c r="V152"/>
  <c r="V147"/>
  <c r="V146"/>
  <c r="V144"/>
  <c r="V143"/>
  <c r="V142"/>
  <c r="V141"/>
  <c r="V140"/>
  <c r="V139"/>
  <c r="V131"/>
  <c r="V129"/>
  <c r="V160"/>
  <c r="V158"/>
  <c r="V157"/>
  <c r="V155"/>
  <c r="V153"/>
  <c r="V145"/>
  <c r="V138"/>
  <c r="V133"/>
  <c r="V132"/>
  <c r="V130"/>
  <c r="V125"/>
  <c r="V117"/>
  <c r="V115"/>
  <c r="V112"/>
  <c r="V111"/>
  <c r="V105"/>
  <c r="V128"/>
  <c r="V127"/>
  <c r="V126"/>
  <c r="V124"/>
  <c r="V119"/>
  <c r="V118"/>
  <c r="V116"/>
  <c r="V114"/>
  <c r="V113"/>
  <c r="V110"/>
  <c r="V104"/>
  <c r="V103"/>
  <c r="V101"/>
  <c r="V100"/>
  <c r="V98"/>
  <c r="V96"/>
  <c r="V91"/>
  <c r="V89"/>
  <c r="V88"/>
  <c r="V87"/>
  <c r="V82"/>
  <c r="V77"/>
  <c r="V75"/>
  <c r="V68"/>
  <c r="V61"/>
  <c r="V59"/>
  <c r="V56"/>
  <c r="V55"/>
  <c r="V48"/>
  <c r="V46"/>
  <c r="V44"/>
  <c r="V42"/>
  <c r="V102"/>
  <c r="V99"/>
  <c r="V97"/>
  <c r="V90"/>
  <c r="V86"/>
  <c r="V85"/>
  <c r="V84"/>
  <c r="V83"/>
  <c r="V76"/>
  <c r="V74"/>
  <c r="V73"/>
  <c r="V72"/>
  <c r="V71"/>
  <c r="V70"/>
  <c r="V69"/>
  <c r="V63"/>
  <c r="V62"/>
  <c r="V60"/>
  <c r="V58"/>
  <c r="V57"/>
  <c r="V54"/>
  <c r="V49"/>
  <c r="V47"/>
  <c r="V45"/>
  <c r="V43"/>
  <c r="V41"/>
  <c r="V40"/>
  <c r="V35"/>
  <c r="V33"/>
  <c r="V34"/>
  <c r="V32"/>
  <c r="V31"/>
  <c r="V30"/>
  <c r="V29"/>
  <c r="V28"/>
  <c r="V27"/>
  <c r="V26"/>
  <c r="AJ154" l="1"/>
  <c r="AI154" s="1"/>
  <c r="AH154" s="1"/>
  <c r="AG154" s="1"/>
  <c r="AF154" s="1"/>
  <c r="AE154" s="1"/>
  <c r="AD154" s="1"/>
  <c r="AC154" s="1"/>
  <c r="AB154" s="1"/>
  <c r="AA154" s="1"/>
  <c r="AN154" s="1"/>
  <c r="AJ140"/>
  <c r="AW140" s="1"/>
  <c r="AV140" s="1"/>
  <c r="AU140" s="1"/>
  <c r="AT140" s="1"/>
  <c r="AS140" s="1"/>
  <c r="AR140" s="1"/>
  <c r="AQ140" s="1"/>
  <c r="AP140" s="1"/>
  <c r="AO140" s="1"/>
  <c r="AN140" s="1"/>
  <c r="AJ126"/>
  <c r="AJ112"/>
  <c r="AW112" s="1"/>
  <c r="AV112" s="1"/>
  <c r="AU112" s="1"/>
  <c r="AT112" s="1"/>
  <c r="AS112" s="1"/>
  <c r="AR112" s="1"/>
  <c r="AQ112" s="1"/>
  <c r="AP112" s="1"/>
  <c r="AO112" s="1"/>
  <c r="AN112" s="1"/>
  <c r="AJ98"/>
  <c r="AW98" s="1"/>
  <c r="AV98" s="1"/>
  <c r="AU98" s="1"/>
  <c r="AT98" s="1"/>
  <c r="AS98" s="1"/>
  <c r="AR98" s="1"/>
  <c r="AQ98" s="1"/>
  <c r="AP98" s="1"/>
  <c r="AO98" s="1"/>
  <c r="AN98" s="1"/>
  <c r="AJ84"/>
  <c r="AW84" s="1"/>
  <c r="AV84" s="1"/>
  <c r="AU84" s="1"/>
  <c r="AT84" s="1"/>
  <c r="AS84" s="1"/>
  <c r="AR84" s="1"/>
  <c r="AQ84" s="1"/>
  <c r="AP84" s="1"/>
  <c r="AO84" s="1"/>
  <c r="AN84" s="1"/>
  <c r="AJ70"/>
  <c r="AW70" s="1"/>
  <c r="AV70" s="1"/>
  <c r="AU70" s="1"/>
  <c r="AT70" s="1"/>
  <c r="AS70" s="1"/>
  <c r="AR70" s="1"/>
  <c r="AQ70" s="1"/>
  <c r="AP70" s="1"/>
  <c r="AO70" s="1"/>
  <c r="AN70" s="1"/>
  <c r="AJ56"/>
  <c r="AW56" s="1"/>
  <c r="AV56" s="1"/>
  <c r="AU56" s="1"/>
  <c r="AT56" s="1"/>
  <c r="AS56" s="1"/>
  <c r="AR56" s="1"/>
  <c r="AQ56" s="1"/>
  <c r="AP56" s="1"/>
  <c r="AO56" s="1"/>
  <c r="AN56" s="1"/>
  <c r="AJ42"/>
  <c r="AW42" s="1"/>
  <c r="AV42" s="1"/>
  <c r="AU42" s="1"/>
  <c r="AT42" s="1"/>
  <c r="AS42" s="1"/>
  <c r="AR42" s="1"/>
  <c r="AQ42" s="1"/>
  <c r="AP42" s="1"/>
  <c r="AO42" s="1"/>
  <c r="AN42" s="1"/>
  <c r="AJ28"/>
  <c r="AW28" s="1"/>
  <c r="AV28" s="1"/>
  <c r="AU28" s="1"/>
  <c r="AT28" s="1"/>
  <c r="AS28" s="1"/>
  <c r="AR28" s="1"/>
  <c r="AQ28" s="1"/>
  <c r="AP28" s="1"/>
  <c r="AO28" s="1"/>
  <c r="AJ130"/>
  <c r="AW130" s="1"/>
  <c r="AV130" s="1"/>
  <c r="AU130" s="1"/>
  <c r="AT130" s="1"/>
  <c r="AS130" s="1"/>
  <c r="AR130" s="1"/>
  <c r="AQ130" s="1"/>
  <c r="AP130" s="1"/>
  <c r="AO130" s="1"/>
  <c r="AN130" s="1"/>
  <c r="AJ158"/>
  <c r="AI158" s="1"/>
  <c r="AH158" s="1"/>
  <c r="AG158" s="1"/>
  <c r="AF158" s="1"/>
  <c r="AE158" s="1"/>
  <c r="AD158" s="1"/>
  <c r="AC158" s="1"/>
  <c r="AB158" s="1"/>
  <c r="AA158" s="1"/>
  <c r="AJ144"/>
  <c r="AW144" s="1"/>
  <c r="AV144" s="1"/>
  <c r="AU144" s="1"/>
  <c r="AT144" s="1"/>
  <c r="AS144" s="1"/>
  <c r="AR144" s="1"/>
  <c r="AQ144" s="1"/>
  <c r="AP144" s="1"/>
  <c r="AO144" s="1"/>
  <c r="AN144" s="1"/>
  <c r="AJ116"/>
  <c r="AW116" s="1"/>
  <c r="AV116" s="1"/>
  <c r="AU116" s="1"/>
  <c r="AT116" s="1"/>
  <c r="AS116" s="1"/>
  <c r="AR116" s="1"/>
  <c r="AQ116" s="1"/>
  <c r="AP116" s="1"/>
  <c r="AO116" s="1"/>
  <c r="AN116" s="1"/>
  <c r="AJ102"/>
  <c r="AJ74"/>
  <c r="AW74" s="1"/>
  <c r="AV74" s="1"/>
  <c r="AU74" s="1"/>
  <c r="AT74" s="1"/>
  <c r="AS74" s="1"/>
  <c r="AR74" s="1"/>
  <c r="AQ74" s="1"/>
  <c r="AP74" s="1"/>
  <c r="AO74" s="1"/>
  <c r="AN74" s="1"/>
  <c r="AJ60"/>
  <c r="AW60" s="1"/>
  <c r="AV60" s="1"/>
  <c r="AU60" s="1"/>
  <c r="AT60" s="1"/>
  <c r="AS60" s="1"/>
  <c r="AR60" s="1"/>
  <c r="AQ60" s="1"/>
  <c r="AP60" s="1"/>
  <c r="AO60" s="1"/>
  <c r="AN60" s="1"/>
  <c r="AJ88"/>
  <c r="AJ46"/>
  <c r="AW46" s="1"/>
  <c r="AV46" s="1"/>
  <c r="AU46" s="1"/>
  <c r="AT46" s="1"/>
  <c r="AS46" s="1"/>
  <c r="AR46" s="1"/>
  <c r="AQ46" s="1"/>
  <c r="AP46" s="1"/>
  <c r="AO46" s="1"/>
  <c r="AN46" s="1"/>
  <c r="AJ32"/>
  <c r="AW32" s="1"/>
  <c r="AV32" s="1"/>
  <c r="AU32" s="1"/>
  <c r="AT32" s="1"/>
  <c r="AS32" s="1"/>
  <c r="AR32" s="1"/>
  <c r="AQ32" s="1"/>
  <c r="AJ159"/>
  <c r="AI159" s="1"/>
  <c r="AH159" s="1"/>
  <c r="AG159" s="1"/>
  <c r="AF159" s="1"/>
  <c r="AE159" s="1"/>
  <c r="AD159" s="1"/>
  <c r="AC159" s="1"/>
  <c r="AB159" s="1"/>
  <c r="AA159" s="1"/>
  <c r="AN159" s="1"/>
  <c r="AJ145"/>
  <c r="AW145" s="1"/>
  <c r="AV145" s="1"/>
  <c r="AU145" s="1"/>
  <c r="AT145" s="1"/>
  <c r="AS145" s="1"/>
  <c r="AR145" s="1"/>
  <c r="AQ145" s="1"/>
  <c r="AP145" s="1"/>
  <c r="AO145" s="1"/>
  <c r="AN145" s="1"/>
  <c r="AJ131"/>
  <c r="AW131" s="1"/>
  <c r="AV131" s="1"/>
  <c r="AU131" s="1"/>
  <c r="AT131" s="1"/>
  <c r="AS131" s="1"/>
  <c r="AR131" s="1"/>
  <c r="AQ131" s="1"/>
  <c r="AP131" s="1"/>
  <c r="AO131" s="1"/>
  <c r="AN131" s="1"/>
  <c r="AJ103"/>
  <c r="AW103" s="1"/>
  <c r="AV103" s="1"/>
  <c r="AU103" s="1"/>
  <c r="AT103" s="1"/>
  <c r="AS103" s="1"/>
  <c r="AR103" s="1"/>
  <c r="AQ103" s="1"/>
  <c r="AP103" s="1"/>
  <c r="AO103" s="1"/>
  <c r="AN103" s="1"/>
  <c r="AJ117"/>
  <c r="AW117" s="1"/>
  <c r="AV117" s="1"/>
  <c r="AU117" s="1"/>
  <c r="AT117" s="1"/>
  <c r="AS117" s="1"/>
  <c r="AR117" s="1"/>
  <c r="AQ117" s="1"/>
  <c r="AP117" s="1"/>
  <c r="AO117" s="1"/>
  <c r="AN117" s="1"/>
  <c r="AJ47"/>
  <c r="AW47" s="1"/>
  <c r="AV47" s="1"/>
  <c r="AU47" s="1"/>
  <c r="AT47" s="1"/>
  <c r="AS47" s="1"/>
  <c r="AR47" s="1"/>
  <c r="AQ47" s="1"/>
  <c r="AP47" s="1"/>
  <c r="AO47" s="1"/>
  <c r="AN47" s="1"/>
  <c r="AJ89"/>
  <c r="AJ75"/>
  <c r="AW75" s="1"/>
  <c r="AV75" s="1"/>
  <c r="AU75" s="1"/>
  <c r="AT75" s="1"/>
  <c r="AS75" s="1"/>
  <c r="AR75" s="1"/>
  <c r="AQ75" s="1"/>
  <c r="AP75" s="1"/>
  <c r="AO75" s="1"/>
  <c r="AN75" s="1"/>
  <c r="AJ61"/>
  <c r="AW61" s="1"/>
  <c r="AV61" s="1"/>
  <c r="AU61" s="1"/>
  <c r="AT61" s="1"/>
  <c r="AS61" s="1"/>
  <c r="AR61" s="1"/>
  <c r="AQ61" s="1"/>
  <c r="AP61" s="1"/>
  <c r="AO61" s="1"/>
  <c r="AN61" s="1"/>
  <c r="AJ33"/>
  <c r="AW33" s="1"/>
  <c r="AV33" s="1"/>
  <c r="AU33" s="1"/>
  <c r="AB33"/>
  <c r="AA33" s="1"/>
  <c r="AA30"/>
  <c r="AN30" s="1"/>
  <c r="AW102"/>
  <c r="AV102" s="1"/>
  <c r="AU102" s="1"/>
  <c r="AT102" s="1"/>
  <c r="AS102" s="1"/>
  <c r="AR102" s="1"/>
  <c r="AQ102" s="1"/>
  <c r="AP102" s="1"/>
  <c r="AO102" s="1"/>
  <c r="AN102" s="1"/>
  <c r="AW88"/>
  <c r="AV88" s="1"/>
  <c r="AU88" s="1"/>
  <c r="AT88" s="1"/>
  <c r="AS88" s="1"/>
  <c r="AR88" s="1"/>
  <c r="AQ88" s="1"/>
  <c r="AP88" s="1"/>
  <c r="AO88" s="1"/>
  <c r="AN88" s="1"/>
  <c r="AW126"/>
  <c r="AV126" s="1"/>
  <c r="AU126" s="1"/>
  <c r="AT126" s="1"/>
  <c r="AS126" s="1"/>
  <c r="AR126" s="1"/>
  <c r="AQ126" s="1"/>
  <c r="AP126" s="1"/>
  <c r="AO126" s="1"/>
  <c r="AN126" s="1"/>
  <c r="AO158"/>
  <c r="AN28"/>
  <c r="AN158"/>
  <c r="AP31"/>
  <c r="AB30"/>
  <c r="AO30" s="1"/>
  <c r="AE35"/>
  <c r="AR35" s="1"/>
  <c r="AQ35" s="1"/>
  <c r="AT33"/>
  <c r="AS33" s="1"/>
  <c r="AR33" s="1"/>
  <c r="AQ33" s="1"/>
  <c r="AP33" s="1"/>
  <c r="AJ152"/>
  <c r="AI152" s="1"/>
  <c r="AH152" s="1"/>
  <c r="AG152" s="1"/>
  <c r="AF152" s="1"/>
  <c r="AE152" s="1"/>
  <c r="AD152" s="1"/>
  <c r="AC152" s="1"/>
  <c r="AB152" s="1"/>
  <c r="AA152" s="1"/>
  <c r="AN152" s="1"/>
  <c r="AJ138"/>
  <c r="AW138" s="1"/>
  <c r="AV138" s="1"/>
  <c r="AU138" s="1"/>
  <c r="AT138" s="1"/>
  <c r="AS138" s="1"/>
  <c r="AR138" s="1"/>
  <c r="AQ138" s="1"/>
  <c r="AP138" s="1"/>
  <c r="AO138" s="1"/>
  <c r="AN138" s="1"/>
  <c r="AJ124"/>
  <c r="AW124" s="1"/>
  <c r="AV124" s="1"/>
  <c r="AU124" s="1"/>
  <c r="AT124" s="1"/>
  <c r="AS124" s="1"/>
  <c r="AR124" s="1"/>
  <c r="AQ124" s="1"/>
  <c r="AP124" s="1"/>
  <c r="AO124" s="1"/>
  <c r="AN124" s="1"/>
  <c r="AJ110"/>
  <c r="AW110" s="1"/>
  <c r="AV110" s="1"/>
  <c r="AU110" s="1"/>
  <c r="AT110" s="1"/>
  <c r="AS110" s="1"/>
  <c r="AR110" s="1"/>
  <c r="AQ110" s="1"/>
  <c r="AP110" s="1"/>
  <c r="AO110" s="1"/>
  <c r="AN110" s="1"/>
  <c r="AJ54"/>
  <c r="AW54" s="1"/>
  <c r="AV54" s="1"/>
  <c r="AU54" s="1"/>
  <c r="AT54" s="1"/>
  <c r="AS54" s="1"/>
  <c r="AR54" s="1"/>
  <c r="AQ54" s="1"/>
  <c r="AP54" s="1"/>
  <c r="AO54" s="1"/>
  <c r="AN54" s="1"/>
  <c r="AJ96"/>
  <c r="AW96" s="1"/>
  <c r="AV96" s="1"/>
  <c r="AU96" s="1"/>
  <c r="AT96" s="1"/>
  <c r="AS96" s="1"/>
  <c r="AR96" s="1"/>
  <c r="AQ96" s="1"/>
  <c r="AP96" s="1"/>
  <c r="AO96" s="1"/>
  <c r="AN96" s="1"/>
  <c r="AJ82"/>
  <c r="AW82" s="1"/>
  <c r="AV82" s="1"/>
  <c r="AU82" s="1"/>
  <c r="AT82" s="1"/>
  <c r="AS82" s="1"/>
  <c r="AR82" s="1"/>
  <c r="AQ82" s="1"/>
  <c r="AP82" s="1"/>
  <c r="AO82" s="1"/>
  <c r="AN82" s="1"/>
  <c r="AJ68"/>
  <c r="AW68" s="1"/>
  <c r="AV68" s="1"/>
  <c r="AU68" s="1"/>
  <c r="AT68" s="1"/>
  <c r="AS68" s="1"/>
  <c r="AR68" s="1"/>
  <c r="AQ68" s="1"/>
  <c r="AP68" s="1"/>
  <c r="AO68" s="1"/>
  <c r="AN68" s="1"/>
  <c r="AJ40"/>
  <c r="AW40" s="1"/>
  <c r="AV40" s="1"/>
  <c r="AU40" s="1"/>
  <c r="AT40" s="1"/>
  <c r="AS40" s="1"/>
  <c r="AR40" s="1"/>
  <c r="AQ40" s="1"/>
  <c r="AP40" s="1"/>
  <c r="AO40" s="1"/>
  <c r="AN40" s="1"/>
  <c r="AJ26"/>
  <c r="AW26" s="1"/>
  <c r="AV26" s="1"/>
  <c r="AU26" s="1"/>
  <c r="AT26" s="1"/>
  <c r="AS26" s="1"/>
  <c r="AR26" s="1"/>
  <c r="AQ26" s="1"/>
  <c r="AP26" s="1"/>
  <c r="AO26" s="1"/>
  <c r="AN26" s="1"/>
  <c r="AJ156"/>
  <c r="AI156" s="1"/>
  <c r="AH156" s="1"/>
  <c r="AG156" s="1"/>
  <c r="AF156" s="1"/>
  <c r="AE156" s="1"/>
  <c r="AD156" s="1"/>
  <c r="AC156" s="1"/>
  <c r="AB156" s="1"/>
  <c r="AA156" s="1"/>
  <c r="AN156" s="1"/>
  <c r="AJ128"/>
  <c r="AW128" s="1"/>
  <c r="AV128" s="1"/>
  <c r="AU128" s="1"/>
  <c r="AT128" s="1"/>
  <c r="AS128" s="1"/>
  <c r="AR128" s="1"/>
  <c r="AQ128" s="1"/>
  <c r="AP128" s="1"/>
  <c r="AO128" s="1"/>
  <c r="AN128" s="1"/>
  <c r="AJ142"/>
  <c r="AW142" s="1"/>
  <c r="AV142" s="1"/>
  <c r="AU142" s="1"/>
  <c r="AT142" s="1"/>
  <c r="AS142" s="1"/>
  <c r="AR142" s="1"/>
  <c r="AQ142" s="1"/>
  <c r="AP142" s="1"/>
  <c r="AO142" s="1"/>
  <c r="AN142" s="1"/>
  <c r="AJ114"/>
  <c r="AW114" s="1"/>
  <c r="AV114" s="1"/>
  <c r="AU114" s="1"/>
  <c r="AT114" s="1"/>
  <c r="AS114" s="1"/>
  <c r="AR114" s="1"/>
  <c r="AQ114" s="1"/>
  <c r="AP114" s="1"/>
  <c r="AO114" s="1"/>
  <c r="AN114" s="1"/>
  <c r="AJ100"/>
  <c r="AW100" s="1"/>
  <c r="AV100" s="1"/>
  <c r="AU100" s="1"/>
  <c r="AT100" s="1"/>
  <c r="AS100" s="1"/>
  <c r="AR100" s="1"/>
  <c r="AQ100" s="1"/>
  <c r="AP100" s="1"/>
  <c r="AO100" s="1"/>
  <c r="AN100" s="1"/>
  <c r="AJ86"/>
  <c r="AW86" s="1"/>
  <c r="AV86" s="1"/>
  <c r="AU86" s="1"/>
  <c r="AT86" s="1"/>
  <c r="AS86" s="1"/>
  <c r="AR86" s="1"/>
  <c r="AQ86" s="1"/>
  <c r="AP86" s="1"/>
  <c r="AO86" s="1"/>
  <c r="AN86" s="1"/>
  <c r="AJ72"/>
  <c r="AW72" s="1"/>
  <c r="AV72" s="1"/>
  <c r="AU72" s="1"/>
  <c r="AT72" s="1"/>
  <c r="AS72" s="1"/>
  <c r="AR72" s="1"/>
  <c r="AQ72" s="1"/>
  <c r="AP72" s="1"/>
  <c r="AO72" s="1"/>
  <c r="AN72" s="1"/>
  <c r="AJ58"/>
  <c r="AJ44"/>
  <c r="AW44" s="1"/>
  <c r="AV44" s="1"/>
  <c r="AU44" s="1"/>
  <c r="AT44" s="1"/>
  <c r="AS44" s="1"/>
  <c r="AR44" s="1"/>
  <c r="AQ44" s="1"/>
  <c r="AP44" s="1"/>
  <c r="AO44" s="1"/>
  <c r="AN44" s="1"/>
  <c r="AJ30"/>
  <c r="AW30" s="1"/>
  <c r="AV30" s="1"/>
  <c r="AU30" s="1"/>
  <c r="AT30" s="1"/>
  <c r="AS30" s="1"/>
  <c r="AR30" s="1"/>
  <c r="AQ30" s="1"/>
  <c r="AP30" s="1"/>
  <c r="AJ153"/>
  <c r="AI153" s="1"/>
  <c r="AH153" s="1"/>
  <c r="AG153" s="1"/>
  <c r="AF153" s="1"/>
  <c r="AE153" s="1"/>
  <c r="AD153" s="1"/>
  <c r="AC153" s="1"/>
  <c r="AB153" s="1"/>
  <c r="AA153" s="1"/>
  <c r="AN153" s="1"/>
  <c r="AJ139"/>
  <c r="AW139" s="1"/>
  <c r="AV139" s="1"/>
  <c r="AU139" s="1"/>
  <c r="AT139" s="1"/>
  <c r="AS139" s="1"/>
  <c r="AR139" s="1"/>
  <c r="AQ139" s="1"/>
  <c r="AP139" s="1"/>
  <c r="AO139" s="1"/>
  <c r="AN139" s="1"/>
  <c r="AJ125"/>
  <c r="AW125" s="1"/>
  <c r="AV125" s="1"/>
  <c r="AU125" s="1"/>
  <c r="AT125" s="1"/>
  <c r="AS125" s="1"/>
  <c r="AR125" s="1"/>
  <c r="AQ125" s="1"/>
  <c r="AP125" s="1"/>
  <c r="AO125" s="1"/>
  <c r="AN125" s="1"/>
  <c r="AJ111"/>
  <c r="AW111" s="1"/>
  <c r="AV111" s="1"/>
  <c r="AU111" s="1"/>
  <c r="AT111" s="1"/>
  <c r="AS111" s="1"/>
  <c r="AR111" s="1"/>
  <c r="AQ111" s="1"/>
  <c r="AP111" s="1"/>
  <c r="AO111" s="1"/>
  <c r="AN111" s="1"/>
  <c r="AJ97"/>
  <c r="AW97" s="1"/>
  <c r="AV97" s="1"/>
  <c r="AU97" s="1"/>
  <c r="AT97" s="1"/>
  <c r="AS97" s="1"/>
  <c r="AR97" s="1"/>
  <c r="AQ97" s="1"/>
  <c r="AP97" s="1"/>
  <c r="AO97" s="1"/>
  <c r="AN97" s="1"/>
  <c r="AJ83"/>
  <c r="AW83" s="1"/>
  <c r="AV83" s="1"/>
  <c r="AU83" s="1"/>
  <c r="AT83" s="1"/>
  <c r="AS83" s="1"/>
  <c r="AR83" s="1"/>
  <c r="AQ83" s="1"/>
  <c r="AP83" s="1"/>
  <c r="AO83" s="1"/>
  <c r="AN83" s="1"/>
  <c r="AJ69"/>
  <c r="AW69" s="1"/>
  <c r="AV69" s="1"/>
  <c r="AU69" s="1"/>
  <c r="AT69" s="1"/>
  <c r="AS69" s="1"/>
  <c r="AR69" s="1"/>
  <c r="AQ69" s="1"/>
  <c r="AP69" s="1"/>
  <c r="AO69" s="1"/>
  <c r="AN69" s="1"/>
  <c r="AJ41"/>
  <c r="AW41" s="1"/>
  <c r="AV41" s="1"/>
  <c r="AU41" s="1"/>
  <c r="AT41" s="1"/>
  <c r="AS41" s="1"/>
  <c r="AR41" s="1"/>
  <c r="AQ41" s="1"/>
  <c r="AP41" s="1"/>
  <c r="AO41" s="1"/>
  <c r="AN41" s="1"/>
  <c r="AJ55"/>
  <c r="AW55" s="1"/>
  <c r="AV55" s="1"/>
  <c r="AU55" s="1"/>
  <c r="AT55" s="1"/>
  <c r="AS55" s="1"/>
  <c r="AR55" s="1"/>
  <c r="AQ55" s="1"/>
  <c r="AP55" s="1"/>
  <c r="AO55" s="1"/>
  <c r="AN55" s="1"/>
  <c r="AJ27"/>
  <c r="AW27" s="1"/>
  <c r="AV27" s="1"/>
  <c r="AU27" s="1"/>
  <c r="AT27" s="1"/>
  <c r="AS27" s="1"/>
  <c r="AJ155"/>
  <c r="AI155" s="1"/>
  <c r="AH155" s="1"/>
  <c r="AG155" s="1"/>
  <c r="AF155" s="1"/>
  <c r="AE155" s="1"/>
  <c r="AD155" s="1"/>
  <c r="AC155" s="1"/>
  <c r="AB155" s="1"/>
  <c r="AA155" s="1"/>
  <c r="AN155" s="1"/>
  <c r="AJ141"/>
  <c r="AW141" s="1"/>
  <c r="AV141" s="1"/>
  <c r="AU141" s="1"/>
  <c r="AT141" s="1"/>
  <c r="AS141" s="1"/>
  <c r="AR141" s="1"/>
  <c r="AQ141" s="1"/>
  <c r="AP141" s="1"/>
  <c r="AO141" s="1"/>
  <c r="AN141" s="1"/>
  <c r="AJ127"/>
  <c r="AW127" s="1"/>
  <c r="AV127" s="1"/>
  <c r="AU127" s="1"/>
  <c r="AT127" s="1"/>
  <c r="AS127" s="1"/>
  <c r="AR127" s="1"/>
  <c r="AQ127" s="1"/>
  <c r="AP127" s="1"/>
  <c r="AO127" s="1"/>
  <c r="AN127" s="1"/>
  <c r="AJ113"/>
  <c r="AW113" s="1"/>
  <c r="AV113" s="1"/>
  <c r="AU113" s="1"/>
  <c r="AT113" s="1"/>
  <c r="AS113" s="1"/>
  <c r="AR113" s="1"/>
  <c r="AQ113" s="1"/>
  <c r="AP113" s="1"/>
  <c r="AO113" s="1"/>
  <c r="AN113" s="1"/>
  <c r="AJ99"/>
  <c r="AW99" s="1"/>
  <c r="AV99" s="1"/>
  <c r="AU99" s="1"/>
  <c r="AT99" s="1"/>
  <c r="AS99" s="1"/>
  <c r="AR99" s="1"/>
  <c r="AQ99" s="1"/>
  <c r="AP99" s="1"/>
  <c r="AO99" s="1"/>
  <c r="AN99" s="1"/>
  <c r="AJ71"/>
  <c r="AW71" s="1"/>
  <c r="AV71" s="1"/>
  <c r="AU71" s="1"/>
  <c r="AT71" s="1"/>
  <c r="AS71" s="1"/>
  <c r="AR71" s="1"/>
  <c r="AQ71" s="1"/>
  <c r="AP71" s="1"/>
  <c r="AO71" s="1"/>
  <c r="AN71" s="1"/>
  <c r="AJ57"/>
  <c r="AW57" s="1"/>
  <c r="AV57" s="1"/>
  <c r="AU57" s="1"/>
  <c r="AT57" s="1"/>
  <c r="AS57" s="1"/>
  <c r="AR57" s="1"/>
  <c r="AQ57" s="1"/>
  <c r="AP57" s="1"/>
  <c r="AO57" s="1"/>
  <c r="AN57" s="1"/>
  <c r="AJ43"/>
  <c r="AW43" s="1"/>
  <c r="AV43" s="1"/>
  <c r="AU43" s="1"/>
  <c r="AT43" s="1"/>
  <c r="AS43" s="1"/>
  <c r="AR43" s="1"/>
  <c r="AQ43" s="1"/>
  <c r="AP43" s="1"/>
  <c r="AO43" s="1"/>
  <c r="AN43" s="1"/>
  <c r="AJ85"/>
  <c r="AW85" s="1"/>
  <c r="AV85" s="1"/>
  <c r="AU85" s="1"/>
  <c r="AT85" s="1"/>
  <c r="AS85" s="1"/>
  <c r="AR85" s="1"/>
  <c r="AQ85" s="1"/>
  <c r="AP85" s="1"/>
  <c r="AO85" s="1"/>
  <c r="AN85" s="1"/>
  <c r="AJ29"/>
  <c r="AW29" s="1"/>
  <c r="AV29" s="1"/>
  <c r="AU29" s="1"/>
  <c r="AT29" s="1"/>
  <c r="AS29" s="1"/>
  <c r="AR29" s="1"/>
  <c r="AQ29" s="1"/>
  <c r="AP29" s="1"/>
  <c r="AJ157"/>
  <c r="AI157" s="1"/>
  <c r="AH157" s="1"/>
  <c r="AG157" s="1"/>
  <c r="AF157" s="1"/>
  <c r="AE157" s="1"/>
  <c r="AD157" s="1"/>
  <c r="AC157" s="1"/>
  <c r="AB157" s="1"/>
  <c r="AA157" s="1"/>
  <c r="AN157" s="1"/>
  <c r="AJ143"/>
  <c r="AW143" s="1"/>
  <c r="AV143" s="1"/>
  <c r="AU143" s="1"/>
  <c r="AT143" s="1"/>
  <c r="AS143" s="1"/>
  <c r="AR143" s="1"/>
  <c r="AQ143" s="1"/>
  <c r="AP143" s="1"/>
  <c r="AO143" s="1"/>
  <c r="AN143" s="1"/>
  <c r="AJ129"/>
  <c r="AW129" s="1"/>
  <c r="AV129" s="1"/>
  <c r="AU129" s="1"/>
  <c r="AT129" s="1"/>
  <c r="AS129" s="1"/>
  <c r="AR129" s="1"/>
  <c r="AQ129" s="1"/>
  <c r="AP129" s="1"/>
  <c r="AO129" s="1"/>
  <c r="AN129" s="1"/>
  <c r="AJ115"/>
  <c r="AW115" s="1"/>
  <c r="AV115" s="1"/>
  <c r="AU115" s="1"/>
  <c r="AT115" s="1"/>
  <c r="AS115" s="1"/>
  <c r="AR115" s="1"/>
  <c r="AQ115" s="1"/>
  <c r="AP115" s="1"/>
  <c r="AO115" s="1"/>
  <c r="AN115" s="1"/>
  <c r="AJ101"/>
  <c r="AW101" s="1"/>
  <c r="AV101" s="1"/>
  <c r="AU101" s="1"/>
  <c r="AT101" s="1"/>
  <c r="AS101" s="1"/>
  <c r="AR101" s="1"/>
  <c r="AQ101" s="1"/>
  <c r="AP101" s="1"/>
  <c r="AO101" s="1"/>
  <c r="AN101" s="1"/>
  <c r="AJ73"/>
  <c r="AW73" s="1"/>
  <c r="AV73" s="1"/>
  <c r="AU73" s="1"/>
  <c r="AT73" s="1"/>
  <c r="AS73" s="1"/>
  <c r="AR73" s="1"/>
  <c r="AQ73" s="1"/>
  <c r="AP73" s="1"/>
  <c r="AO73" s="1"/>
  <c r="AN73" s="1"/>
  <c r="AJ45"/>
  <c r="AW45" s="1"/>
  <c r="AV45" s="1"/>
  <c r="AU45" s="1"/>
  <c r="AT45" s="1"/>
  <c r="AS45" s="1"/>
  <c r="AR45" s="1"/>
  <c r="AQ45" s="1"/>
  <c r="AP45" s="1"/>
  <c r="AO45" s="1"/>
  <c r="AN45" s="1"/>
  <c r="AJ87"/>
  <c r="AW87" s="1"/>
  <c r="AV87" s="1"/>
  <c r="AU87" s="1"/>
  <c r="AT87" s="1"/>
  <c r="AS87" s="1"/>
  <c r="AR87" s="1"/>
  <c r="AQ87" s="1"/>
  <c r="AP87" s="1"/>
  <c r="AO87" s="1"/>
  <c r="AN87" s="1"/>
  <c r="AJ59"/>
  <c r="AW59" s="1"/>
  <c r="AV59" s="1"/>
  <c r="AU59" s="1"/>
  <c r="AT59" s="1"/>
  <c r="AS59" s="1"/>
  <c r="AR59" s="1"/>
  <c r="AQ59" s="1"/>
  <c r="AP59" s="1"/>
  <c r="AO59" s="1"/>
  <c r="AN59" s="1"/>
  <c r="AJ31"/>
  <c r="AI31" s="1"/>
  <c r="AV31" s="1"/>
  <c r="AU31" s="1"/>
  <c r="AT31" s="1"/>
  <c r="AS31" s="1"/>
  <c r="AR31" s="1"/>
  <c r="AQ31" s="1"/>
  <c r="AJ132"/>
  <c r="AW132" s="1"/>
  <c r="AV132" s="1"/>
  <c r="AU132" s="1"/>
  <c r="AT132" s="1"/>
  <c r="AS132" s="1"/>
  <c r="AR132" s="1"/>
  <c r="AQ132" s="1"/>
  <c r="AP132" s="1"/>
  <c r="AO132" s="1"/>
  <c r="AN132" s="1"/>
  <c r="AJ160"/>
  <c r="AI160" s="1"/>
  <c r="AH160" s="1"/>
  <c r="AG160" s="1"/>
  <c r="AF160" s="1"/>
  <c r="AE160" s="1"/>
  <c r="AD160" s="1"/>
  <c r="AC160" s="1"/>
  <c r="AB160" s="1"/>
  <c r="AA160" s="1"/>
  <c r="AN160" s="1"/>
  <c r="AJ146"/>
  <c r="AW146" s="1"/>
  <c r="AV146" s="1"/>
  <c r="AU146" s="1"/>
  <c r="AT146" s="1"/>
  <c r="AS146" s="1"/>
  <c r="AR146" s="1"/>
  <c r="AQ146" s="1"/>
  <c r="AP146" s="1"/>
  <c r="AO146" s="1"/>
  <c r="AN146" s="1"/>
  <c r="AJ118"/>
  <c r="AW118" s="1"/>
  <c r="AV118" s="1"/>
  <c r="AU118" s="1"/>
  <c r="AT118" s="1"/>
  <c r="AS118" s="1"/>
  <c r="AR118" s="1"/>
  <c r="AQ118" s="1"/>
  <c r="AP118" s="1"/>
  <c r="AO118" s="1"/>
  <c r="AN118" s="1"/>
  <c r="AJ104"/>
  <c r="AW104" s="1"/>
  <c r="AV104" s="1"/>
  <c r="AU104" s="1"/>
  <c r="AT104" s="1"/>
  <c r="AS104" s="1"/>
  <c r="AR104" s="1"/>
  <c r="AQ104" s="1"/>
  <c r="AP104" s="1"/>
  <c r="AO104" s="1"/>
  <c r="AN104" s="1"/>
  <c r="AJ90"/>
  <c r="AW90" s="1"/>
  <c r="AV90" s="1"/>
  <c r="AU90" s="1"/>
  <c r="AT90" s="1"/>
  <c r="AS90" s="1"/>
  <c r="AR90" s="1"/>
  <c r="AQ90" s="1"/>
  <c r="AP90" s="1"/>
  <c r="AO90" s="1"/>
  <c r="AN90" s="1"/>
  <c r="AJ76"/>
  <c r="AW76" s="1"/>
  <c r="AV76" s="1"/>
  <c r="AU76" s="1"/>
  <c r="AT76" s="1"/>
  <c r="AS76" s="1"/>
  <c r="AR76" s="1"/>
  <c r="AQ76" s="1"/>
  <c r="AP76" s="1"/>
  <c r="AO76" s="1"/>
  <c r="AN76" s="1"/>
  <c r="AJ62"/>
  <c r="AW62" s="1"/>
  <c r="AV62" s="1"/>
  <c r="AU62" s="1"/>
  <c r="AT62" s="1"/>
  <c r="AS62" s="1"/>
  <c r="AR62" s="1"/>
  <c r="AQ62" s="1"/>
  <c r="AP62" s="1"/>
  <c r="AO62" s="1"/>
  <c r="AN62" s="1"/>
  <c r="AJ48"/>
  <c r="AW48" s="1"/>
  <c r="AV48" s="1"/>
  <c r="AU48" s="1"/>
  <c r="AT48" s="1"/>
  <c r="AS48" s="1"/>
  <c r="AR48" s="1"/>
  <c r="AQ48" s="1"/>
  <c r="AP48" s="1"/>
  <c r="AO48" s="1"/>
  <c r="AN48" s="1"/>
  <c r="AJ34"/>
  <c r="AJ161"/>
  <c r="AI161" s="1"/>
  <c r="AH161" s="1"/>
  <c r="AG161" s="1"/>
  <c r="AF161" s="1"/>
  <c r="AE161" s="1"/>
  <c r="AD161" s="1"/>
  <c r="AC161" s="1"/>
  <c r="AB161" s="1"/>
  <c r="AA161" s="1"/>
  <c r="AN161" s="1"/>
  <c r="AJ133"/>
  <c r="AW133" s="1"/>
  <c r="AV133" s="1"/>
  <c r="AU133" s="1"/>
  <c r="AT133" s="1"/>
  <c r="AS133" s="1"/>
  <c r="AR133" s="1"/>
  <c r="AQ133" s="1"/>
  <c r="AP133" s="1"/>
  <c r="AO133" s="1"/>
  <c r="AN133" s="1"/>
  <c r="AJ147"/>
  <c r="AW147" s="1"/>
  <c r="AV147" s="1"/>
  <c r="AU147" s="1"/>
  <c r="AT147" s="1"/>
  <c r="AS147" s="1"/>
  <c r="AR147" s="1"/>
  <c r="AQ147" s="1"/>
  <c r="AP147" s="1"/>
  <c r="AO147" s="1"/>
  <c r="AN147" s="1"/>
  <c r="AJ119"/>
  <c r="AW119" s="1"/>
  <c r="AV119" s="1"/>
  <c r="AU119" s="1"/>
  <c r="AT119" s="1"/>
  <c r="AS119" s="1"/>
  <c r="AR119" s="1"/>
  <c r="AQ119" s="1"/>
  <c r="AP119" s="1"/>
  <c r="AO119" s="1"/>
  <c r="AN119" s="1"/>
  <c r="AJ105"/>
  <c r="AW105" s="1"/>
  <c r="AV105" s="1"/>
  <c r="AU105" s="1"/>
  <c r="AT105" s="1"/>
  <c r="AS105" s="1"/>
  <c r="AR105" s="1"/>
  <c r="AQ105" s="1"/>
  <c r="AP105" s="1"/>
  <c r="AO105" s="1"/>
  <c r="AN105" s="1"/>
  <c r="AJ63"/>
  <c r="AW63" s="1"/>
  <c r="AV63" s="1"/>
  <c r="AU63" s="1"/>
  <c r="AT63" s="1"/>
  <c r="AS63" s="1"/>
  <c r="AR63" s="1"/>
  <c r="AQ63" s="1"/>
  <c r="AP63" s="1"/>
  <c r="AO63" s="1"/>
  <c r="AN63" s="1"/>
  <c r="AJ49"/>
  <c r="AW49" s="1"/>
  <c r="AV49" s="1"/>
  <c r="AU49" s="1"/>
  <c r="AT49" s="1"/>
  <c r="AS49" s="1"/>
  <c r="AR49" s="1"/>
  <c r="AQ49" s="1"/>
  <c r="AP49" s="1"/>
  <c r="AO49" s="1"/>
  <c r="AN49" s="1"/>
  <c r="AJ91"/>
  <c r="AW91" s="1"/>
  <c r="AV91" s="1"/>
  <c r="AU91" s="1"/>
  <c r="AT91" s="1"/>
  <c r="AS91" s="1"/>
  <c r="AR91" s="1"/>
  <c r="AQ91" s="1"/>
  <c r="AP91" s="1"/>
  <c r="AO91" s="1"/>
  <c r="AN91" s="1"/>
  <c r="AJ77"/>
  <c r="AW77" s="1"/>
  <c r="AV77" s="1"/>
  <c r="AU77" s="1"/>
  <c r="AT77" s="1"/>
  <c r="AS77" s="1"/>
  <c r="AR77" s="1"/>
  <c r="AQ77" s="1"/>
  <c r="AP77" s="1"/>
  <c r="AO77" s="1"/>
  <c r="AN77" s="1"/>
  <c r="AJ35"/>
  <c r="AI35" s="1"/>
  <c r="AV35" s="1"/>
  <c r="AU35" s="1"/>
  <c r="AT35" s="1"/>
  <c r="AS35" s="1"/>
  <c r="AB29"/>
  <c r="AA29" s="1"/>
  <c r="AN29" s="1"/>
  <c r="AB31"/>
  <c r="AA31" s="1"/>
  <c r="AE27"/>
  <c r="AR27" s="1"/>
  <c r="AQ27" s="1"/>
  <c r="AC27"/>
  <c r="AB27" s="1"/>
  <c r="AO27" s="1"/>
  <c r="AN27" s="1"/>
  <c r="N32"/>
  <c r="AB32" s="1"/>
  <c r="AP32"/>
  <c r="AC35"/>
  <c r="AP35" s="1"/>
  <c r="AO35" s="1"/>
  <c r="AN35" s="1"/>
  <c r="AW58"/>
  <c r="AV58" s="1"/>
  <c r="AU58" s="1"/>
  <c r="AT58" s="1"/>
  <c r="AS58" s="1"/>
  <c r="AR58" s="1"/>
  <c r="AQ58" s="1"/>
  <c r="AP58" s="1"/>
  <c r="AO58" s="1"/>
  <c r="AN58" s="1"/>
  <c r="AW89"/>
  <c r="AV89" s="1"/>
  <c r="AU89" s="1"/>
  <c r="AT89" s="1"/>
  <c r="AS89" s="1"/>
  <c r="AR89" s="1"/>
  <c r="AQ89" s="1"/>
  <c r="AP89" s="1"/>
  <c r="AO89" s="1"/>
  <c r="AN89" s="1"/>
  <c r="AW158"/>
  <c r="AB34"/>
  <c r="AA34" s="1"/>
  <c r="AN34" s="1"/>
  <c r="AW154" l="1"/>
  <c r="AS160"/>
  <c r="AR154"/>
  <c r="AV158"/>
  <c r="AV160"/>
  <c r="AR160"/>
  <c r="AU158"/>
  <c r="AT160"/>
  <c r="AP160"/>
  <c r="AQ160"/>
  <c r="AU160"/>
  <c r="AO160"/>
  <c r="AT154"/>
  <c r="AS154" s="1"/>
  <c r="AS153"/>
  <c r="AP157"/>
  <c r="AQ154"/>
  <c r="AP159"/>
  <c r="AV154"/>
  <c r="AU154"/>
  <c r="AO154"/>
  <c r="AT153"/>
  <c r="AV153"/>
  <c r="AQ157"/>
  <c r="AU157"/>
  <c r="AR153"/>
  <c r="AO157"/>
  <c r="AW152"/>
  <c r="AT158"/>
  <c r="AS158"/>
  <c r="AP158"/>
  <c r="AQ158"/>
  <c r="AR158"/>
  <c r="AT157"/>
  <c r="AT159"/>
  <c r="AS159"/>
  <c r="AS157"/>
  <c r="AP153"/>
  <c r="AP154"/>
  <c r="AV157"/>
  <c r="AV159"/>
  <c r="AQ159"/>
  <c r="AQ153"/>
  <c r="AU159"/>
  <c r="AU153"/>
  <c r="AR157"/>
  <c r="AR159"/>
  <c r="AO159"/>
  <c r="AO153"/>
  <c r="AW161"/>
  <c r="AW159"/>
  <c r="AQ152"/>
  <c r="AR152"/>
  <c r="AO152"/>
  <c r="AO31"/>
  <c r="AN31" s="1"/>
  <c r="AO29"/>
  <c r="AW153"/>
  <c r="AO34"/>
  <c r="AP27"/>
  <c r="AT152"/>
  <c r="AS152"/>
  <c r="AP152"/>
  <c r="AW160"/>
  <c r="AO33"/>
  <c r="AN33" s="1"/>
  <c r="AY67"/>
  <c r="AY109"/>
  <c r="AY137"/>
  <c r="AY53"/>
  <c r="AY95"/>
  <c r="AY39"/>
  <c r="AT161"/>
  <c r="AT155"/>
  <c r="AS161"/>
  <c r="AS155"/>
  <c r="AP161"/>
  <c r="AP155"/>
  <c r="AV156"/>
  <c r="AQ161"/>
  <c r="AQ155"/>
  <c r="AU156"/>
  <c r="AR161"/>
  <c r="AR155"/>
  <c r="AO161"/>
  <c r="AO155"/>
  <c r="AY81"/>
  <c r="AW156"/>
  <c r="AW155"/>
  <c r="AO32"/>
  <c r="AN32" s="1"/>
  <c r="AW31"/>
  <c r="AT156"/>
  <c r="AS156"/>
  <c r="AP156"/>
  <c r="AV161"/>
  <c r="AV155"/>
  <c r="AV152"/>
  <c r="AQ156"/>
  <c r="AU161"/>
  <c r="AU152"/>
  <c r="AU155"/>
  <c r="AR156"/>
  <c r="AO156"/>
  <c r="AW157"/>
  <c r="AW35"/>
  <c r="AY123"/>
  <c r="AY151" l="1"/>
  <c r="AP34" l="1"/>
  <c r="AQ34"/>
  <c r="AR34"/>
  <c r="AS34"/>
  <c r="AT34"/>
  <c r="AU34"/>
  <c r="AV34"/>
  <c r="AW34"/>
  <c r="C25"/>
  <c r="D26"/>
  <c r="D27"/>
  <c r="C26"/>
  <c r="C27"/>
  <c r="D28"/>
  <c r="C28"/>
  <c r="D29"/>
  <c r="C29"/>
  <c r="D30"/>
  <c r="C30"/>
  <c r="D31"/>
  <c r="C31"/>
  <c r="D32"/>
  <c r="C32"/>
  <c r="D33"/>
  <c r="C33"/>
  <c r="D34"/>
  <c r="C34"/>
  <c r="E33" l="1"/>
  <c r="E29"/>
  <c r="E31"/>
  <c r="E28"/>
  <c r="E27"/>
  <c r="E34"/>
  <c r="E30"/>
  <c r="F31" s="1"/>
  <c r="G31" s="1"/>
  <c r="E32"/>
  <c r="AY25"/>
  <c r="D25" s="1"/>
  <c r="E25" s="1"/>
  <c r="F34" l="1"/>
  <c r="G34" s="1"/>
  <c r="F33"/>
  <c r="G33" s="1"/>
  <c r="F29"/>
  <c r="G29" s="1"/>
  <c r="F32"/>
  <c r="G32" s="1"/>
  <c r="F28"/>
  <c r="G28" s="1"/>
  <c r="F30"/>
  <c r="G30" s="1"/>
  <c r="E26"/>
  <c r="F27" s="1"/>
  <c r="G27" s="1"/>
  <c r="F25"/>
  <c r="G25" s="1"/>
  <c r="F26" l="1"/>
  <c r="G26" s="1"/>
  <c r="G35" s="1"/>
  <c r="E35"/>
  <c r="H6" s="1"/>
  <c r="H35" l="1"/>
  <c r="H7" s="1"/>
  <c r="B22" i="15"/>
  <c r="B20"/>
  <c r="C33" s="1"/>
  <c r="D33" s="1"/>
  <c r="B33" s="1"/>
  <c r="I31"/>
  <c r="C49" l="1"/>
  <c r="D49" s="1"/>
  <c r="B49" s="1"/>
  <c r="C39"/>
  <c r="D39" s="1"/>
  <c r="B39" s="1"/>
  <c r="C40"/>
  <c r="D40" s="1"/>
  <c r="B40" s="1"/>
  <c r="C37"/>
  <c r="D37" s="1"/>
  <c r="B37" s="1"/>
  <c r="C48"/>
  <c r="D48" s="1"/>
  <c r="B48" s="1"/>
  <c r="C36"/>
  <c r="D36" s="1"/>
  <c r="B36" s="1"/>
  <c r="C42"/>
  <c r="D42" s="1"/>
  <c r="B42" s="1"/>
  <c r="C35"/>
  <c r="D35" s="1"/>
  <c r="B35" s="1"/>
  <c r="C41"/>
  <c r="D41" s="1"/>
  <c r="B41" s="1"/>
  <c r="C43"/>
  <c r="D43" s="1"/>
  <c r="B43" s="1"/>
  <c r="C38"/>
  <c r="D38" s="1"/>
  <c r="B38" s="1"/>
  <c r="I33"/>
  <c r="J31"/>
  <c r="C50"/>
  <c r="D50" s="1"/>
  <c r="B50" s="1"/>
  <c r="C47"/>
  <c r="D47" s="1"/>
  <c r="B47" s="1"/>
  <c r="C45"/>
  <c r="D45" s="1"/>
  <c r="B45" s="1"/>
  <c r="C46"/>
  <c r="D46" s="1"/>
  <c r="B46" s="1"/>
  <c r="C32"/>
  <c r="D32" s="1"/>
  <c r="B32" s="1"/>
  <c r="C51"/>
  <c r="D51" s="1"/>
  <c r="B51" s="1"/>
  <c r="C44"/>
  <c r="D44" s="1"/>
  <c r="B44" s="1"/>
  <c r="C34"/>
  <c r="D34" s="1"/>
  <c r="B34" s="1"/>
  <c r="J33"/>
  <c r="B23"/>
  <c r="J36" l="1"/>
  <c r="J48"/>
  <c r="I48"/>
  <c r="J42"/>
  <c r="I39"/>
  <c r="J46"/>
  <c r="J47"/>
  <c r="I37"/>
  <c r="J40"/>
  <c r="J39"/>
  <c r="J49"/>
  <c r="J32"/>
  <c r="J43"/>
  <c r="I36"/>
  <c r="J37"/>
  <c r="J35"/>
  <c r="J38"/>
  <c r="I41"/>
  <c r="I42"/>
  <c r="J41"/>
  <c r="I38"/>
  <c r="I49"/>
  <c r="I44"/>
  <c r="J44"/>
  <c r="J45"/>
  <c r="J34"/>
  <c r="I51"/>
  <c r="I50"/>
  <c r="I43"/>
  <c r="I45"/>
  <c r="I32"/>
  <c r="J50"/>
  <c r="J51"/>
  <c r="I47"/>
  <c r="I46"/>
  <c r="I34"/>
  <c r="I40"/>
  <c r="I35"/>
  <c r="L48" l="1"/>
  <c r="L49"/>
  <c r="K42"/>
  <c r="L36"/>
  <c r="L38"/>
  <c r="L41"/>
  <c r="L37"/>
  <c r="K37"/>
  <c r="K49"/>
  <c r="M49" s="1"/>
  <c r="K39"/>
  <c r="L42"/>
  <c r="M42" s="1"/>
  <c r="K38"/>
  <c r="L39"/>
  <c r="K46"/>
  <c r="L46"/>
  <c r="L32"/>
  <c r="K32"/>
  <c r="L43"/>
  <c r="K43"/>
  <c r="K51"/>
  <c r="L51"/>
  <c r="L44"/>
  <c r="K44"/>
  <c r="K33"/>
  <c r="K40"/>
  <c r="L40"/>
  <c r="L35"/>
  <c r="K35"/>
  <c r="K34"/>
  <c r="L34"/>
  <c r="K47"/>
  <c r="L47"/>
  <c r="K45"/>
  <c r="L45"/>
  <c r="K50"/>
  <c r="L50"/>
  <c r="K48"/>
  <c r="M48" s="1"/>
  <c r="K41"/>
  <c r="M41" s="1"/>
  <c r="L33"/>
  <c r="K36"/>
  <c r="M37" l="1"/>
  <c r="M36"/>
  <c r="M38"/>
  <c r="M39"/>
  <c r="M35"/>
  <c r="M51"/>
  <c r="M33"/>
  <c r="M46"/>
  <c r="M32"/>
  <c r="K52"/>
  <c r="B25" s="1"/>
  <c r="M50"/>
  <c r="M45"/>
  <c r="M47"/>
  <c r="M34"/>
  <c r="M40"/>
  <c r="M44"/>
  <c r="M43"/>
  <c r="M52" l="1"/>
  <c r="N52" s="1"/>
  <c r="B26" s="1"/>
</calcChain>
</file>

<file path=xl/sharedStrings.xml><?xml version="1.0" encoding="utf-8"?>
<sst xmlns="http://schemas.openxmlformats.org/spreadsheetml/2006/main" count="742" uniqueCount="309">
  <si>
    <t>Load (psf)</t>
  </si>
  <si>
    <t>psf</t>
  </si>
  <si>
    <t>ft</t>
  </si>
  <si>
    <t>lbs</t>
  </si>
  <si>
    <t>Pressure</t>
  </si>
  <si>
    <t>Force</t>
  </si>
  <si>
    <t>Point Load</t>
  </si>
  <si>
    <t>Wall Height, Z</t>
  </si>
  <si>
    <t>Distance to near edge of load, X</t>
  </si>
  <si>
    <t>Width of Load, X</t>
  </si>
  <si>
    <t>Length of Load, Y</t>
  </si>
  <si>
    <t>Subdivide width of load into 'nx' segments</t>
  </si>
  <si>
    <t>Subdivide length of load into 'ny' segments</t>
  </si>
  <si>
    <t>Subdivide height of wall into 'nz' segments</t>
  </si>
  <si>
    <t>Trib width to point load, x</t>
  </si>
  <si>
    <t>Trib length to length load, y</t>
  </si>
  <si>
    <t>Segment wall height, z</t>
  </si>
  <si>
    <t>Segment, X</t>
  </si>
  <si>
    <t>Table 1 inplane radial distance,r</t>
  </si>
  <si>
    <t>Segment, Y</t>
  </si>
  <si>
    <t>segment, r</t>
  </si>
  <si>
    <t>Z</t>
  </si>
  <si>
    <t>segment, z</t>
  </si>
  <si>
    <t>radial, r</t>
  </si>
  <si>
    <t>z</t>
  </si>
  <si>
    <t>r11</t>
  </si>
  <si>
    <t>r21</t>
  </si>
  <si>
    <t>r31</t>
  </si>
  <si>
    <t>r41</t>
  </si>
  <si>
    <t>r51</t>
  </si>
  <si>
    <t>r61</t>
  </si>
  <si>
    <t>r71</t>
  </si>
  <si>
    <t>r81</t>
  </si>
  <si>
    <t>r91</t>
  </si>
  <si>
    <t>r101</t>
  </si>
  <si>
    <t>r12</t>
  </si>
  <si>
    <t>r22</t>
  </si>
  <si>
    <t>r32</t>
  </si>
  <si>
    <t>r42</t>
  </si>
  <si>
    <t>r52</t>
  </si>
  <si>
    <t>r62</t>
  </si>
  <si>
    <t>r72</t>
  </si>
  <si>
    <t>r82</t>
  </si>
  <si>
    <t>r92</t>
  </si>
  <si>
    <t>r102</t>
  </si>
  <si>
    <t>r13</t>
  </si>
  <si>
    <t>r23</t>
  </si>
  <si>
    <t>r33</t>
  </si>
  <si>
    <t>r43</t>
  </si>
  <si>
    <t>r53</t>
  </si>
  <si>
    <t>r63</t>
  </si>
  <si>
    <t>r73</t>
  </si>
  <si>
    <t>r83</t>
  </si>
  <si>
    <t>r93</t>
  </si>
  <si>
    <t>r103</t>
  </si>
  <si>
    <t>r14</t>
  </si>
  <si>
    <t>r24</t>
  </si>
  <si>
    <t>r34</t>
  </si>
  <si>
    <t>r44</t>
  </si>
  <si>
    <t>r54</t>
  </si>
  <si>
    <t>r64</t>
  </si>
  <si>
    <t>r74</t>
  </si>
  <si>
    <t>r84</t>
  </si>
  <si>
    <t>r94</t>
  </si>
  <si>
    <t>r104</t>
  </si>
  <si>
    <t>r15</t>
  </si>
  <si>
    <t>r25</t>
  </si>
  <si>
    <t>r35</t>
  </si>
  <si>
    <t>r45</t>
  </si>
  <si>
    <t>r55</t>
  </si>
  <si>
    <t>r65</t>
  </si>
  <si>
    <t>r75</t>
  </si>
  <si>
    <t>r85</t>
  </si>
  <si>
    <t>r95</t>
  </si>
  <si>
    <t>r105</t>
  </si>
  <si>
    <t>r16</t>
  </si>
  <si>
    <t>r26</t>
  </si>
  <si>
    <t>r36</t>
  </si>
  <si>
    <t>r46</t>
  </si>
  <si>
    <t>r56</t>
  </si>
  <si>
    <t>r66</t>
  </si>
  <si>
    <t>r76</t>
  </si>
  <si>
    <t>r86</t>
  </si>
  <si>
    <t>r96</t>
  </si>
  <si>
    <t>r106</t>
  </si>
  <si>
    <t>r17</t>
  </si>
  <si>
    <t>r27</t>
  </si>
  <si>
    <t>r37</t>
  </si>
  <si>
    <t>r47</t>
  </si>
  <si>
    <t>r57</t>
  </si>
  <si>
    <t>r67</t>
  </si>
  <si>
    <t>r77</t>
  </si>
  <si>
    <t>r87</t>
  </si>
  <si>
    <t>r97</t>
  </si>
  <si>
    <t>r107</t>
  </si>
  <si>
    <t>r18</t>
  </si>
  <si>
    <t>r28</t>
  </si>
  <si>
    <t>r38</t>
  </si>
  <si>
    <t>r48</t>
  </si>
  <si>
    <t>r58</t>
  </si>
  <si>
    <t>r68</t>
  </si>
  <si>
    <t>r78</t>
  </si>
  <si>
    <t>r88</t>
  </si>
  <si>
    <t>r98</t>
  </si>
  <si>
    <t>r108</t>
  </si>
  <si>
    <t>r19</t>
  </si>
  <si>
    <t>r29</t>
  </si>
  <si>
    <t>r39</t>
  </si>
  <si>
    <t>r49</t>
  </si>
  <si>
    <t>r59</t>
  </si>
  <si>
    <t>r69</t>
  </si>
  <si>
    <t>r79</t>
  </si>
  <si>
    <t>r89</t>
  </si>
  <si>
    <t>r99</t>
  </si>
  <si>
    <t>r109</t>
  </si>
  <si>
    <t>r20</t>
  </si>
  <si>
    <t>r30</t>
  </si>
  <si>
    <t>r40</t>
  </si>
  <si>
    <t>r50</t>
  </si>
  <si>
    <t>r60</t>
  </si>
  <si>
    <t>r70</t>
  </si>
  <si>
    <t>r80</t>
  </si>
  <si>
    <t>r90</t>
  </si>
  <si>
    <t>r100</t>
  </si>
  <si>
    <t>r110</t>
  </si>
  <si>
    <t>Xi</t>
  </si>
  <si>
    <t>Yi</t>
  </si>
  <si>
    <t>segment</t>
  </si>
  <si>
    <t>Z, ft</t>
  </si>
  <si>
    <t>sum (psf)</t>
  </si>
  <si>
    <t>yi from B/W</t>
  </si>
  <si>
    <t>F*yi</t>
  </si>
  <si>
    <t xml:space="preserve">Force </t>
  </si>
  <si>
    <t>Force Result. Loc</t>
  </si>
  <si>
    <t>Sum</t>
  </si>
  <si>
    <t>Force=</t>
  </si>
  <si>
    <t>(use 10)</t>
  </si>
  <si>
    <t>H, ft</t>
  </si>
  <si>
    <t>Mod. For plane strain (as Reqd)</t>
  </si>
  <si>
    <t>Type of Load (Point, Line, Strip, Area)</t>
  </si>
  <si>
    <t>Subtract 0.5' for point/line: (ft)</t>
  </si>
  <si>
    <t>Poisson's ratio (calc uses this value)</t>
  </si>
  <si>
    <t xml:space="preserve">Poisson's ratio </t>
  </si>
  <si>
    <t>Strip Load</t>
  </si>
  <si>
    <t>plf</t>
  </si>
  <si>
    <t xml:space="preserve"> Radial Length, R</t>
  </si>
  <si>
    <t>Dist to far edge of load, X (ft)</t>
  </si>
  <si>
    <t>ft/ft</t>
  </si>
  <si>
    <t>Section:</t>
  </si>
  <si>
    <t>Total</t>
  </si>
  <si>
    <t>p10</t>
  </si>
  <si>
    <t>p9</t>
  </si>
  <si>
    <t>p8</t>
  </si>
  <si>
    <t>p7</t>
  </si>
  <si>
    <t>p6</t>
  </si>
  <si>
    <t>p5</t>
  </si>
  <si>
    <t>p4</t>
  </si>
  <si>
    <t>p3</t>
  </si>
  <si>
    <t>p2</t>
  </si>
  <si>
    <t>p1</t>
  </si>
  <si>
    <t>p0</t>
  </si>
  <si>
    <t>Y' (from bottom)</t>
  </si>
  <si>
    <t>F*yi (A*xi)</t>
  </si>
  <si>
    <t>yi (from bot)</t>
  </si>
  <si>
    <t>h ft</t>
  </si>
  <si>
    <t>z ft</t>
  </si>
  <si>
    <t>b</t>
  </si>
  <si>
    <t>Beta</t>
  </si>
  <si>
    <t>Delta</t>
  </si>
  <si>
    <t>Alpha</t>
  </si>
  <si>
    <t>Location of Force Resultant</t>
  </si>
  <si>
    <t>H Flexible (from table)</t>
  </si>
  <si>
    <t>(With FS=2.0 (rigid)</t>
  </si>
  <si>
    <t>H (Itegrated, Jarquio)</t>
  </si>
  <si>
    <t>deg</t>
  </si>
  <si>
    <t>theta2</t>
  </si>
  <si>
    <t>X2 (distance to far side of surcharg)</t>
  </si>
  <si>
    <t>X1 (distance to near side of surcharg)</t>
  </si>
  <si>
    <t>H (exposed ht or ht to surcharge from bottom of wall)</t>
  </si>
  <si>
    <t>q (load)</t>
  </si>
  <si>
    <t>Y</t>
  </si>
  <si>
    <t>f*yi</t>
  </si>
  <si>
    <t>yi</t>
  </si>
  <si>
    <t>F</t>
  </si>
  <si>
    <t>p</t>
  </si>
  <si>
    <t>h</t>
  </si>
  <si>
    <t>Pressure Distribution</t>
  </si>
  <si>
    <t>Y (from bot)</t>
  </si>
  <si>
    <t>Use Chart Below for a&gt;0.4</t>
  </si>
  <si>
    <t>Using Chart Below for a&lt;=0.4</t>
  </si>
  <si>
    <t>Resultant Location from bottom</t>
  </si>
  <si>
    <t>Setback ratio (a or m)</t>
  </si>
  <si>
    <t>y (Resultant Height  from bot)</t>
  </si>
  <si>
    <t>For given a</t>
  </si>
  <si>
    <t>Height of wall</t>
  </si>
  <si>
    <t>X dist to load</t>
  </si>
  <si>
    <t>Force a&gt;0.4</t>
  </si>
  <si>
    <t>q line load</t>
  </si>
  <si>
    <t>Force a&lt;= 0.4</t>
  </si>
  <si>
    <t>a (a=m in bowles)</t>
  </si>
  <si>
    <t>Uniform Line Load</t>
  </si>
  <si>
    <t>Comparison</t>
  </si>
  <si>
    <t>n</t>
  </si>
  <si>
    <t>Distance from bot</t>
  </si>
  <si>
    <t>m</t>
  </si>
  <si>
    <t>Height of Wall</t>
  </si>
  <si>
    <t>q point load</t>
  </si>
  <si>
    <t>Note: Spreadsheet  subdivides area and strip loads into finite number of point loads then adds the pressure contribution of each point load</t>
  </si>
  <si>
    <t>Enter values shown as green</t>
  </si>
  <si>
    <t>Note: This table uses the results of the other tables to display the pressure and find force resultant</t>
  </si>
  <si>
    <t>Note: The tables below find the radial distance from the subdivided point loads at each height increment R=sqrt(r^2+z^2)</t>
  </si>
  <si>
    <t>Note: These tables below find the inplane radial distance to the subdivided point load at each hieght increment r=sqrt(x^2+y^2)</t>
  </si>
  <si>
    <t>Note: The tables below apply the point load bousinesq equation for each subdivided point load at each level</t>
  </si>
  <si>
    <t>Strip</t>
  </si>
  <si>
    <t>Result:</t>
  </si>
  <si>
    <t>Use if m&lt;=0.4</t>
  </si>
  <si>
    <t>Use if m&gt;0.4</t>
  </si>
  <si>
    <t>use if a&lt;=0.4</t>
  </si>
  <si>
    <t>Use if a&gt;0.4</t>
  </si>
  <si>
    <t>H1, Height of Wall (ft)</t>
  </si>
  <si>
    <t>Offset Surchare (psf)</t>
  </si>
  <si>
    <t>J, Offset distance Face to Face  (ft)</t>
  </si>
  <si>
    <t>S, Back slope</t>
  </si>
  <si>
    <t>(500 for flat)</t>
  </si>
  <si>
    <t>Ext Failure Plane (deg)</t>
  </si>
  <si>
    <t>Internal</t>
  </si>
  <si>
    <t>CHECKS</t>
  </si>
  <si>
    <t>J&gt;L1?</t>
  </si>
  <si>
    <t>0.3L1</t>
  </si>
  <si>
    <t>J&lt;0.3L1 ?</t>
  </si>
  <si>
    <t>0.3L1&lt;J&lt;L2 ?</t>
  </si>
  <si>
    <t>Percentage &lt;100%?</t>
  </si>
  <si>
    <t>Effective Surcharge</t>
  </si>
  <si>
    <t>% Of Surcharge Effecting Wall</t>
  </si>
  <si>
    <t>Design Surcharge</t>
  </si>
  <si>
    <t>External</t>
  </si>
  <si>
    <t>X1 Dist to Bk of Fail Plane</t>
  </si>
  <si>
    <t>L1+X1</t>
  </si>
  <si>
    <t>L1+X1 &lt; J ?</t>
  </si>
  <si>
    <t>L1+0.5X1</t>
  </si>
  <si>
    <t>L1+0.5X1&gt;J</t>
  </si>
  <si>
    <t>(L1+.5X1)&lt;J&lt;(L1+X1)?</t>
  </si>
  <si>
    <t>Refer to NCMA Design Manual For Segmental Retaining Walls 3rd Edition page 59</t>
  </si>
  <si>
    <t>Project:</t>
  </si>
  <si>
    <t>Grant</t>
  </si>
  <si>
    <t>Wall ID:</t>
  </si>
  <si>
    <t>theta1 (alpha)</t>
  </si>
  <si>
    <t>Jarquio Solution</t>
  </si>
  <si>
    <t>x1 (distance to load)</t>
  </si>
  <si>
    <t>xq (width of load)</t>
  </si>
  <si>
    <t>Theta</t>
  </si>
  <si>
    <t>Pressure 1</t>
  </si>
  <si>
    <t>p11</t>
  </si>
  <si>
    <t>p12</t>
  </si>
  <si>
    <t>p13</t>
  </si>
  <si>
    <t>p14</t>
  </si>
  <si>
    <t>p15</t>
  </si>
  <si>
    <t>p16</t>
  </si>
  <si>
    <t>p17</t>
  </si>
  <si>
    <t>p18</t>
  </si>
  <si>
    <t>p19</t>
  </si>
  <si>
    <t>p20</t>
  </si>
  <si>
    <t>Lateral earth pressure coefficient</t>
  </si>
  <si>
    <t>Vertical Pressure</t>
  </si>
  <si>
    <t>Horizontal Pressure</t>
  </si>
  <si>
    <t>Wall Stiffness (Use 1, the stiffnes is relected in using active or at-rest pressure coeff. above)</t>
  </si>
  <si>
    <t xml:space="preserve">Referance Poulos and Davis </t>
  </si>
  <si>
    <t>Type of Load (Strip Load Only)</t>
  </si>
  <si>
    <t>h, ft</t>
  </si>
  <si>
    <t>Point Load, P</t>
  </si>
  <si>
    <t>z segment</t>
  </si>
  <si>
    <t>zi, ft</t>
  </si>
  <si>
    <t>x=r segment -&gt;</t>
  </si>
  <si>
    <t>xi = ri - &gt;</t>
  </si>
  <si>
    <t>Ri's</t>
  </si>
  <si>
    <t>Wall Stiffness (Per Civil Tech Software Flexible = 1, Semi Rigid =1.5, Rigid = 2)</t>
  </si>
  <si>
    <t>H, Horizontal Force</t>
  </si>
  <si>
    <t>Distance to near edge of load, X1</t>
  </si>
  <si>
    <t>Referance Bowles 3rd and 4th Editions</t>
  </si>
  <si>
    <t>Sum Pressures at each level</t>
  </si>
  <si>
    <t>qz</t>
  </si>
  <si>
    <t>Force Resultant</t>
  </si>
  <si>
    <t>Sum of First Moments</t>
  </si>
  <si>
    <t>Force Resultant (lb)</t>
  </si>
  <si>
    <t>Force Result. Loc (ft)</t>
  </si>
  <si>
    <t>Summary</t>
  </si>
  <si>
    <t>Location From Bottom of Wall</t>
  </si>
  <si>
    <t>lb</t>
  </si>
  <si>
    <t>Pressure 2 (check only)</t>
  </si>
  <si>
    <t>Slope of surcharge through soil (H:V)</t>
  </si>
  <si>
    <t xml:space="preserve">Slope method based on UPRR Shoring Design manual </t>
  </si>
  <si>
    <t>(UPRR uses 1H:2V)</t>
  </si>
  <si>
    <t>Modified parameters for slope</t>
  </si>
  <si>
    <t>Distance to surcharge</t>
  </si>
  <si>
    <t>Width of surcharge</t>
  </si>
  <si>
    <t>Strip load surcharge</t>
  </si>
  <si>
    <t>check 'edge'</t>
  </si>
  <si>
    <t>x1 (horizontal distance to surcharge, near edge)</t>
  </si>
  <si>
    <t>y1, Vertical distance to surcharge</t>
  </si>
  <si>
    <t>q (surcharge)</t>
  </si>
  <si>
    <t>Calculation attempts to account for a backslope behind the wall where the surcharge is applied above the top of wall. The surcharge is assumed to distribute down through the soil at an assumed slope (UPRR uses a 2V:1H) to the top of wall elevation. At this elevation the surcharge is recalculated over a new bearing width and then applied using the typical Modified Boussinesq Equation.</t>
  </si>
  <si>
    <t>Initial Parameters</t>
  </si>
  <si>
    <t>Calculation attempts to account for a backslope behind the wall where the surcharge is applied above the top of wall. The surcharge is assumed to distribute down through the soil at an assumed slope (UPRR uses a 2V:1H) to the top of wall elevation. At this elevation the surcharge is recalculated over a new bearing width and then applied using the typical Modified Boussinesq Equation. The Modified Boussinesq Equation used is for vertical pressures. The vertical pressure is then multiplied by Ka to get teh horizontal pressure.</t>
  </si>
  <si>
    <t>Theta/phi</t>
  </si>
  <si>
    <t xml:space="preserve">Principle Stress 2 </t>
  </si>
  <si>
    <t>Principle Stress 1</t>
  </si>
  <si>
    <t>Horiz Pressure</t>
  </si>
  <si>
    <t>L1, grid Length / wall width (ft)</t>
  </si>
  <si>
    <t>Point</t>
  </si>
</sst>
</file>

<file path=xl/styles.xml><?xml version="1.0" encoding="utf-8"?>
<styleSheet xmlns="http://schemas.openxmlformats.org/spreadsheetml/2006/main">
  <numFmts count="1">
    <numFmt numFmtId="164" formatCode="0.000"/>
  </numFmts>
  <fonts count="10">
    <font>
      <sz val="11"/>
      <color theme="1"/>
      <name val="Calibri"/>
      <family val="2"/>
      <scheme val="minor"/>
    </font>
    <font>
      <sz val="11"/>
      <color rgb="FF00B050"/>
      <name val="Calibri"/>
      <family val="2"/>
      <scheme val="minor"/>
    </font>
    <font>
      <sz val="11"/>
      <name val="Calibri"/>
      <family val="2"/>
      <scheme val="minor"/>
    </font>
    <font>
      <b/>
      <sz val="11"/>
      <color theme="1"/>
      <name val="Calibri"/>
      <family val="2"/>
      <scheme val="minor"/>
    </font>
    <font>
      <sz val="11"/>
      <color rgb="FF0070C0"/>
      <name val="Calibri"/>
      <family val="2"/>
      <scheme val="minor"/>
    </font>
    <font>
      <u/>
      <sz val="11"/>
      <color theme="1"/>
      <name val="Calibri"/>
      <family val="2"/>
      <scheme val="minor"/>
    </font>
    <font>
      <b/>
      <u/>
      <sz val="11"/>
      <color theme="1"/>
      <name val="Calibri"/>
      <family val="2"/>
      <scheme val="minor"/>
    </font>
    <font>
      <sz val="11"/>
      <color rgb="FFFF0000"/>
      <name val="Calibri"/>
      <family val="2"/>
      <scheme val="minor"/>
    </font>
    <font>
      <sz val="9"/>
      <color theme="1"/>
      <name val="Calibri"/>
      <family val="2"/>
      <scheme val="minor"/>
    </font>
    <font>
      <b/>
      <sz val="11"/>
      <name val="Calibri"/>
      <family val="2"/>
      <scheme val="minor"/>
    </font>
  </fonts>
  <fills count="2">
    <fill>
      <patternFill patternType="none"/>
    </fill>
    <fill>
      <patternFill patternType="gray125"/>
    </fill>
  </fills>
  <borders count="38">
    <border>
      <left/>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diagonal/>
    </border>
    <border>
      <left/>
      <right style="hair">
        <color auto="1"/>
      </right>
      <top style="hair">
        <color auto="1"/>
      </top>
      <bottom style="thin">
        <color auto="1"/>
      </bottom>
      <diagonal/>
    </border>
    <border>
      <left style="thin">
        <color auto="1"/>
      </left>
      <right style="thin">
        <color auto="1"/>
      </right>
      <top style="thin">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6">
    <xf numFmtId="0" fontId="0" fillId="0" borderId="0" xfId="0"/>
    <xf numFmtId="0" fontId="0" fillId="0" borderId="0" xfId="0" applyAlignment="1">
      <alignment wrapText="1"/>
    </xf>
    <xf numFmtId="0" fontId="0" fillId="0" borderId="0" xfId="0" applyNumberFormat="1"/>
    <xf numFmtId="2" fontId="2" fillId="0" borderId="0" xfId="0" applyNumberFormat="1" applyFont="1" applyAlignment="1">
      <alignment wrapText="1"/>
    </xf>
    <xf numFmtId="0" fontId="0" fillId="0" borderId="2" xfId="0"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0" xfId="0" applyNumberFormat="1" applyAlignment="1">
      <alignment wrapText="1"/>
    </xf>
    <xf numFmtId="0" fontId="0" fillId="0" borderId="3" xfId="0" applyNumberFormat="1" applyBorder="1" applyAlignment="1">
      <alignment wrapText="1"/>
    </xf>
    <xf numFmtId="0" fontId="0" fillId="0" borderId="4" xfId="0" applyNumberFormat="1" applyBorder="1" applyAlignment="1">
      <alignment wrapText="1"/>
    </xf>
    <xf numFmtId="0" fontId="0" fillId="0" borderId="0" xfId="0" applyNumberFormat="1" applyBorder="1" applyAlignment="1">
      <alignment wrapText="1"/>
    </xf>
    <xf numFmtId="0" fontId="0" fillId="0" borderId="6" xfId="0" applyNumberFormat="1" applyBorder="1" applyAlignment="1">
      <alignment wrapText="1"/>
    </xf>
    <xf numFmtId="0" fontId="0" fillId="0" borderId="0" xfId="0" applyNumberFormat="1" applyBorder="1"/>
    <xf numFmtId="0" fontId="0" fillId="0" borderId="6" xfId="0" applyNumberFormat="1" applyBorder="1"/>
    <xf numFmtId="0" fontId="0" fillId="0" borderId="8" xfId="0" applyNumberFormat="1" applyBorder="1" applyAlignment="1">
      <alignment wrapText="1"/>
    </xf>
    <xf numFmtId="0" fontId="0" fillId="0" borderId="9" xfId="0" applyNumberFormat="1" applyBorder="1" applyAlignment="1">
      <alignment wrapText="1"/>
    </xf>
    <xf numFmtId="0" fontId="0" fillId="0" borderId="2" xfId="0" applyNumberFormat="1" applyBorder="1" applyAlignment="1">
      <alignment wrapText="1"/>
    </xf>
    <xf numFmtId="0" fontId="0" fillId="0" borderId="4" xfId="0" applyNumberFormat="1" applyBorder="1"/>
    <xf numFmtId="0" fontId="0" fillId="0" borderId="5" xfId="0" applyNumberFormat="1" applyBorder="1" applyAlignment="1">
      <alignment wrapText="1"/>
    </xf>
    <xf numFmtId="0" fontId="0" fillId="0" borderId="7" xfId="0" applyNumberFormat="1" applyBorder="1" applyAlignment="1">
      <alignment wrapText="1"/>
    </xf>
    <xf numFmtId="0" fontId="0" fillId="0" borderId="8" xfId="0" applyNumberFormat="1" applyBorder="1"/>
    <xf numFmtId="0" fontId="0" fillId="0" borderId="9" xfId="0" applyNumberFormat="1" applyBorder="1"/>
    <xf numFmtId="0" fontId="0" fillId="0" borderId="3" xfId="0" applyNumberFormat="1" applyBorder="1"/>
    <xf numFmtId="0" fontId="3" fillId="0" borderId="8" xfId="0" applyNumberFormat="1" applyFont="1" applyBorder="1"/>
    <xf numFmtId="0" fontId="3" fillId="0" borderId="9" xfId="0" applyNumberFormat="1" applyFont="1" applyBorder="1"/>
    <xf numFmtId="0" fontId="0" fillId="0" borderId="1" xfId="0" applyNumberFormat="1" applyBorder="1" applyAlignment="1">
      <alignment wrapText="1"/>
    </xf>
    <xf numFmtId="0" fontId="0" fillId="0" borderId="12" xfId="0" applyNumberFormat="1" applyBorder="1" applyAlignment="1">
      <alignment wrapText="1"/>
    </xf>
    <xf numFmtId="0" fontId="0" fillId="0" borderId="14" xfId="0" applyNumberFormat="1" applyBorder="1" applyAlignment="1">
      <alignment wrapText="1"/>
    </xf>
    <xf numFmtId="0" fontId="0" fillId="0" borderId="1" xfId="0" applyBorder="1"/>
    <xf numFmtId="0" fontId="0" fillId="0" borderId="14" xfId="0" applyBorder="1"/>
    <xf numFmtId="0" fontId="1" fillId="0" borderId="13" xfId="0" applyFont="1" applyBorder="1" applyAlignment="1">
      <alignment wrapText="1"/>
    </xf>
    <xf numFmtId="0" fontId="2" fillId="0" borderId="1" xfId="0" applyFont="1" applyBorder="1" applyAlignment="1">
      <alignment wrapText="1"/>
    </xf>
    <xf numFmtId="0" fontId="0" fillId="0" borderId="13" xfId="0" applyBorder="1" applyAlignment="1">
      <alignment wrapText="1"/>
    </xf>
    <xf numFmtId="0" fontId="0" fillId="0" borderId="16" xfId="0" applyBorder="1"/>
    <xf numFmtId="0" fontId="0" fillId="0" borderId="17" xfId="0" applyBorder="1"/>
    <xf numFmtId="0" fontId="0" fillId="0" borderId="1" xfId="0" applyBorder="1" applyAlignment="1">
      <alignment wrapText="1"/>
    </xf>
    <xf numFmtId="2" fontId="0" fillId="0" borderId="1" xfId="0" applyNumberFormat="1" applyBorder="1"/>
    <xf numFmtId="0" fontId="0" fillId="0" borderId="17" xfId="0" applyNumberFormat="1" applyBorder="1" applyAlignment="1">
      <alignment wrapText="1"/>
    </xf>
    <xf numFmtId="0" fontId="3" fillId="0" borderId="3" xfId="0" applyNumberFormat="1" applyFont="1" applyBorder="1"/>
    <xf numFmtId="0" fontId="0" fillId="0" borderId="0" xfId="0" applyNumberFormat="1" applyBorder="1" applyAlignment="1">
      <alignment horizontal="right"/>
    </xf>
    <xf numFmtId="0" fontId="0" fillId="0" borderId="5" xfId="0" applyNumberFormat="1" applyBorder="1"/>
    <xf numFmtId="0" fontId="0" fillId="0" borderId="7" xfId="0" applyNumberFormat="1" applyBorder="1"/>
    <xf numFmtId="0" fontId="3" fillId="0" borderId="2" xfId="0" applyNumberFormat="1" applyFont="1" applyBorder="1"/>
    <xf numFmtId="0" fontId="0" fillId="0" borderId="10" xfId="0" applyBorder="1" applyAlignment="1">
      <alignment wrapText="1"/>
    </xf>
    <xf numFmtId="0" fontId="0" fillId="0" borderId="11" xfId="0" applyBorder="1" applyAlignment="1">
      <alignment wrapText="1"/>
    </xf>
    <xf numFmtId="0" fontId="0" fillId="0" borderId="14" xfId="0" applyBorder="1" applyAlignment="1">
      <alignment wrapText="1"/>
    </xf>
    <xf numFmtId="0" fontId="1" fillId="0" borderId="1" xfId="0" applyFont="1" applyBorder="1" applyAlignment="1">
      <alignment wrapText="1"/>
    </xf>
    <xf numFmtId="0" fontId="1" fillId="0" borderId="14" xfId="0" applyFont="1" applyBorder="1" applyAlignment="1">
      <alignment wrapText="1"/>
    </xf>
    <xf numFmtId="0" fontId="2" fillId="0" borderId="14" xfId="0" applyFont="1" applyBorder="1" applyAlignment="1">
      <alignment wrapText="1"/>
    </xf>
    <xf numFmtId="0" fontId="2" fillId="0" borderId="13"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2" xfId="0" applyNumberFormat="1" applyBorder="1"/>
    <xf numFmtId="164" fontId="0" fillId="0" borderId="0" xfId="0" applyNumberFormat="1" applyBorder="1"/>
    <xf numFmtId="2" fontId="0" fillId="0" borderId="0" xfId="0" applyNumberFormat="1" applyAlignment="1">
      <alignment wrapText="1"/>
    </xf>
    <xf numFmtId="0" fontId="0" fillId="0" borderId="16" xfId="0" applyFill="1" applyBorder="1"/>
    <xf numFmtId="0" fontId="0" fillId="0" borderId="19" xfId="0" applyFill="1" applyBorder="1"/>
    <xf numFmtId="2" fontId="0" fillId="0" borderId="20" xfId="0" applyNumberFormat="1" applyBorder="1"/>
    <xf numFmtId="0" fontId="0" fillId="0" borderId="22" xfId="0" applyBorder="1"/>
    <xf numFmtId="2" fontId="0" fillId="0" borderId="16" xfId="0" applyNumberFormat="1" applyBorder="1" applyAlignment="1">
      <alignment wrapText="1"/>
    </xf>
    <xf numFmtId="2" fontId="0" fillId="0" borderId="1" xfId="0" applyNumberFormat="1" applyBorder="1" applyAlignment="1">
      <alignment wrapText="1"/>
    </xf>
    <xf numFmtId="2" fontId="0" fillId="0" borderId="13" xfId="0" applyNumberFormat="1" applyBorder="1" applyAlignment="1">
      <alignment wrapText="1"/>
    </xf>
    <xf numFmtId="0" fontId="0" fillId="0" borderId="23" xfId="0" applyBorder="1"/>
    <xf numFmtId="0" fontId="0" fillId="0" borderId="24" xfId="0" applyBorder="1"/>
    <xf numFmtId="2" fontId="0" fillId="0" borderId="24" xfId="0" applyNumberFormat="1" applyBorder="1"/>
    <xf numFmtId="2" fontId="0" fillId="0" borderId="24" xfId="0" applyNumberFormat="1" applyBorder="1" applyAlignment="1">
      <alignment wrapText="1"/>
    </xf>
    <xf numFmtId="0" fontId="0" fillId="0" borderId="27" xfId="0" applyBorder="1"/>
    <xf numFmtId="0" fontId="0" fillId="0" borderId="27" xfId="0" applyBorder="1" applyAlignment="1">
      <alignment horizontal="center"/>
    </xf>
    <xf numFmtId="0" fontId="0" fillId="0" borderId="18" xfId="0" applyBorder="1" applyAlignment="1">
      <alignment wrapText="1"/>
    </xf>
    <xf numFmtId="2" fontId="0" fillId="0" borderId="26" xfId="0" applyNumberFormat="1" applyBorder="1"/>
    <xf numFmtId="2" fontId="0" fillId="0" borderId="27" xfId="0" applyNumberFormat="1" applyFill="1" applyBorder="1"/>
    <xf numFmtId="2" fontId="0" fillId="0" borderId="27" xfId="0" applyNumberFormat="1" applyBorder="1"/>
    <xf numFmtId="2" fontId="0" fillId="0" borderId="28" xfId="0" applyNumberFormat="1" applyBorder="1" applyAlignment="1">
      <alignment wrapText="1"/>
    </xf>
    <xf numFmtId="2" fontId="0" fillId="0" borderId="0" xfId="0" applyNumberFormat="1"/>
    <xf numFmtId="2" fontId="0" fillId="0" borderId="28" xfId="0" applyNumberFormat="1" applyBorder="1"/>
    <xf numFmtId="2" fontId="0" fillId="0" borderId="17" xfId="0" applyNumberFormat="1" applyBorder="1"/>
    <xf numFmtId="2" fontId="0" fillId="0" borderId="16" xfId="0" applyNumberFormat="1" applyBorder="1"/>
    <xf numFmtId="2" fontId="0" fillId="0" borderId="15" xfId="0" applyNumberFormat="1" applyBorder="1" applyAlignment="1">
      <alignment wrapText="1"/>
    </xf>
    <xf numFmtId="2" fontId="0" fillId="0" borderId="15" xfId="0" applyNumberFormat="1" applyBorder="1"/>
    <xf numFmtId="2" fontId="0" fillId="0" borderId="14" xfId="0" applyNumberFormat="1" applyBorder="1"/>
    <xf numFmtId="2" fontId="0" fillId="0" borderId="13" xfId="0" applyNumberFormat="1" applyBorder="1"/>
    <xf numFmtId="2" fontId="0" fillId="0" borderId="12" xfId="0" applyNumberFormat="1" applyBorder="1"/>
    <xf numFmtId="2" fontId="0" fillId="0" borderId="11" xfId="0" applyNumberFormat="1" applyBorder="1"/>
    <xf numFmtId="2" fontId="0" fillId="0" borderId="10" xfId="0" applyNumberFormat="1" applyBorder="1" applyAlignment="1">
      <alignment wrapText="1"/>
    </xf>
    <xf numFmtId="2" fontId="0" fillId="0" borderId="10" xfId="0" applyNumberFormat="1" applyBorder="1"/>
    <xf numFmtId="0" fontId="0" fillId="0" borderId="26" xfId="0" applyBorder="1"/>
    <xf numFmtId="0" fontId="0" fillId="0" borderId="28" xfId="0" applyBorder="1" applyAlignment="1">
      <alignment wrapText="1"/>
    </xf>
    <xf numFmtId="0" fontId="0" fillId="0" borderId="28" xfId="0" applyBorder="1"/>
    <xf numFmtId="0" fontId="0" fillId="0" borderId="15" xfId="0" applyBorder="1"/>
    <xf numFmtId="0" fontId="0" fillId="0" borderId="13" xfId="0" applyBorder="1"/>
    <xf numFmtId="0" fontId="0" fillId="0" borderId="12" xfId="0" applyBorder="1"/>
    <xf numFmtId="0" fontId="0" fillId="0" borderId="11" xfId="0" applyBorder="1"/>
    <xf numFmtId="0" fontId="0" fillId="0" borderId="10" xfId="0" applyBorder="1"/>
    <xf numFmtId="0" fontId="0" fillId="0" borderId="17" xfId="0" applyBorder="1" applyAlignment="1">
      <alignment horizontal="center"/>
    </xf>
    <xf numFmtId="0" fontId="0" fillId="0" borderId="15" xfId="0" applyBorder="1" applyAlignment="1">
      <alignment horizontal="center" wrapText="1"/>
    </xf>
    <xf numFmtId="0" fontId="2" fillId="0" borderId="15" xfId="0" applyFont="1" applyBorder="1" applyAlignment="1">
      <alignment wrapText="1"/>
    </xf>
    <xf numFmtId="0" fontId="0" fillId="0" borderId="14" xfId="0" applyBorder="1" applyAlignment="1">
      <alignment horizontal="center"/>
    </xf>
    <xf numFmtId="0" fontId="0" fillId="0" borderId="13" xfId="0" applyBorder="1" applyAlignment="1">
      <alignment horizontal="center" wrapText="1"/>
    </xf>
    <xf numFmtId="0" fontId="0" fillId="0" borderId="12" xfId="0" applyBorder="1" applyAlignment="1">
      <alignment horizontal="left" wrapText="1"/>
    </xf>
    <xf numFmtId="0" fontId="0" fillId="0" borderId="10" xfId="0" applyBorder="1" applyAlignment="1">
      <alignment horizontal="center" wrapText="1"/>
    </xf>
    <xf numFmtId="0" fontId="0" fillId="0" borderId="1" xfId="0" applyBorder="1" applyAlignment="1">
      <alignment horizontal="left" wrapText="1"/>
    </xf>
    <xf numFmtId="0" fontId="0" fillId="0" borderId="13" xfId="0" applyBorder="1" applyAlignment="1">
      <alignment horizontal="left" wrapText="1"/>
    </xf>
    <xf numFmtId="2" fontId="0" fillId="0" borderId="0" xfId="0" applyNumberFormat="1" applyFill="1" applyBorder="1" applyAlignment="1">
      <alignment wrapText="1"/>
    </xf>
    <xf numFmtId="0" fontId="0" fillId="0" borderId="4" xfId="0" applyBorder="1"/>
    <xf numFmtId="0" fontId="0" fillId="0" borderId="3" xfId="0" applyBorder="1"/>
    <xf numFmtId="0" fontId="0" fillId="0" borderId="2" xfId="0" applyBorder="1"/>
    <xf numFmtId="0" fontId="2" fillId="0" borderId="0" xfId="0" applyFont="1"/>
    <xf numFmtId="0" fontId="1" fillId="0" borderId="0" xfId="0" applyFont="1"/>
    <xf numFmtId="0" fontId="0" fillId="0" borderId="31" xfId="0" applyBorder="1" applyAlignment="1">
      <alignment wrapText="1"/>
    </xf>
    <xf numFmtId="0" fontId="0" fillId="0" borderId="32" xfId="0" applyNumberFormat="1" applyBorder="1" applyAlignment="1">
      <alignment wrapText="1"/>
    </xf>
    <xf numFmtId="0" fontId="1" fillId="0" borderId="13" xfId="0" applyFont="1" applyBorder="1"/>
    <xf numFmtId="164" fontId="0" fillId="0" borderId="1" xfId="0" applyNumberFormat="1" applyBorder="1"/>
    <xf numFmtId="0" fontId="3" fillId="0" borderId="13" xfId="0" applyFont="1" applyBorder="1"/>
    <xf numFmtId="0" fontId="7" fillId="0" borderId="14" xfId="0" applyFont="1" applyBorder="1"/>
    <xf numFmtId="2" fontId="7" fillId="0" borderId="1" xfId="0" applyNumberFormat="1" applyFont="1" applyBorder="1"/>
    <xf numFmtId="164" fontId="7" fillId="0" borderId="14" xfId="0" applyNumberFormat="1" applyFont="1" applyBorder="1"/>
    <xf numFmtId="0" fontId="0" fillId="0" borderId="34" xfId="0" applyFill="1" applyBorder="1"/>
    <xf numFmtId="164" fontId="7" fillId="0" borderId="8" xfId="0" applyNumberFormat="1" applyFont="1" applyBorder="1"/>
    <xf numFmtId="0" fontId="0" fillId="0" borderId="8" xfId="0" applyBorder="1"/>
    <xf numFmtId="0" fontId="0" fillId="0" borderId="9" xfId="0" applyBorder="1"/>
    <xf numFmtId="0" fontId="1" fillId="0" borderId="25" xfId="0" applyFont="1" applyBorder="1"/>
    <xf numFmtId="164" fontId="0" fillId="0" borderId="24" xfId="0" applyNumberFormat="1" applyBorder="1"/>
    <xf numFmtId="164" fontId="0" fillId="0" borderId="3" xfId="0" applyNumberFormat="1" applyBorder="1"/>
    <xf numFmtId="164" fontId="0" fillId="0" borderId="27" xfId="0" applyNumberFormat="1" applyBorder="1"/>
    <xf numFmtId="164" fontId="0" fillId="0" borderId="25" xfId="0" applyNumberFormat="1" applyBorder="1" applyAlignment="1">
      <alignment wrapText="1"/>
    </xf>
    <xf numFmtId="164" fontId="0" fillId="0" borderId="24" xfId="0" applyNumberFormat="1" applyBorder="1" applyAlignment="1">
      <alignment wrapText="1"/>
    </xf>
    <xf numFmtId="164" fontId="0" fillId="0" borderId="13" xfId="0" applyNumberFormat="1" applyBorder="1" applyAlignment="1">
      <alignment wrapText="1"/>
    </xf>
    <xf numFmtId="164" fontId="0" fillId="0" borderId="1" xfId="0" applyNumberFormat="1" applyBorder="1" applyAlignment="1">
      <alignment wrapText="1"/>
    </xf>
    <xf numFmtId="2" fontId="0" fillId="0" borderId="11" xfId="0" applyNumberFormat="1" applyBorder="1" applyAlignment="1">
      <alignment wrapText="1"/>
    </xf>
    <xf numFmtId="0" fontId="0" fillId="0" borderId="12" xfId="0" applyBorder="1" applyAlignment="1">
      <alignment wrapText="1"/>
    </xf>
    <xf numFmtId="0" fontId="4" fillId="0" borderId="15" xfId="0" applyFont="1" applyBorder="1" applyAlignment="1">
      <alignment wrapText="1"/>
    </xf>
    <xf numFmtId="0" fontId="0" fillId="0" borderId="17" xfId="0" applyBorder="1" applyAlignment="1">
      <alignment wrapText="1"/>
    </xf>
    <xf numFmtId="0" fontId="6" fillId="0" borderId="10" xfId="0" applyFont="1" applyBorder="1" applyAlignment="1">
      <alignment wrapText="1"/>
    </xf>
    <xf numFmtId="0" fontId="5" fillId="0" borderId="13" xfId="0" applyFont="1" applyBorder="1" applyAlignment="1">
      <alignment wrapText="1"/>
    </xf>
    <xf numFmtId="0" fontId="4" fillId="0" borderId="13" xfId="0" applyFont="1" applyBorder="1" applyAlignment="1">
      <alignment wrapText="1"/>
    </xf>
    <xf numFmtId="2" fontId="0" fillId="0" borderId="28" xfId="0" applyNumberFormat="1" applyBorder="1" applyAlignment="1">
      <alignment horizontal="center"/>
    </xf>
    <xf numFmtId="0" fontId="0" fillId="0" borderId="27" xfId="0" applyBorder="1" applyAlignment="1"/>
    <xf numFmtId="0" fontId="0" fillId="0" borderId="27" xfId="0" applyFill="1" applyBorder="1" applyAlignment="1"/>
    <xf numFmtId="0" fontId="0" fillId="0" borderId="26" xfId="0" applyFill="1" applyBorder="1" applyAlignment="1"/>
    <xf numFmtId="0" fontId="0" fillId="0" borderId="0" xfId="0" applyAlignment="1"/>
    <xf numFmtId="0" fontId="0" fillId="0" borderId="27" xfId="0" applyBorder="1" applyAlignment="1">
      <alignment wrapText="1"/>
    </xf>
    <xf numFmtId="0" fontId="0" fillId="0" borderId="5" xfId="0" applyBorder="1" applyAlignment="1">
      <alignment horizontal="center" wrapText="1"/>
    </xf>
    <xf numFmtId="0" fontId="0" fillId="0" borderId="0" xfId="0" applyBorder="1" applyAlignment="1">
      <alignment horizontal="center" wrapText="1"/>
    </xf>
    <xf numFmtId="0" fontId="0" fillId="0" borderId="0" xfId="0" applyBorder="1"/>
    <xf numFmtId="0" fontId="3" fillId="0" borderId="0" xfId="0" applyNumberFormat="1" applyFont="1"/>
    <xf numFmtId="0" fontId="3" fillId="0" borderId="0" xfId="0" applyNumberFormat="1" applyFont="1" applyBorder="1"/>
    <xf numFmtId="0" fontId="0" fillId="0" borderId="35" xfId="0" applyNumberFormat="1" applyBorder="1" applyAlignment="1">
      <alignment wrapText="1"/>
    </xf>
    <xf numFmtId="0" fontId="0" fillId="0" borderId="36" xfId="0" applyNumberFormat="1" applyBorder="1" applyAlignment="1">
      <alignment wrapText="1"/>
    </xf>
    <xf numFmtId="0" fontId="0" fillId="0" borderId="37" xfId="0" applyNumberFormat="1" applyBorder="1" applyAlignment="1">
      <alignment wrapText="1"/>
    </xf>
    <xf numFmtId="0" fontId="0" fillId="0" borderId="6" xfId="0" applyBorder="1"/>
    <xf numFmtId="164" fontId="0" fillId="0" borderId="9" xfId="0" applyNumberFormat="1" applyBorder="1"/>
    <xf numFmtId="164" fontId="0" fillId="0" borderId="4" xfId="0" applyNumberFormat="1" applyBorder="1"/>
    <xf numFmtId="0" fontId="9" fillId="0" borderId="13" xfId="0" applyFont="1" applyBorder="1" applyAlignment="1">
      <alignment wrapText="1"/>
    </xf>
    <xf numFmtId="0" fontId="8" fillId="0" borderId="0" xfId="0" applyFont="1" applyBorder="1" applyAlignment="1">
      <alignment horizontal="left" wrapText="1"/>
    </xf>
    <xf numFmtId="0" fontId="0" fillId="0" borderId="0" xfId="0" applyNumberFormat="1" applyAlignment="1">
      <alignment horizontal="left" wrapText="1"/>
    </xf>
    <xf numFmtId="0" fontId="0" fillId="0" borderId="33" xfId="0" applyBorder="1" applyAlignment="1">
      <alignment horizontal="center" wrapText="1"/>
    </xf>
    <xf numFmtId="0" fontId="0" fillId="0" borderId="21" xfId="0" applyBorder="1" applyAlignment="1">
      <alignment horizontal="center" wrapText="1"/>
    </xf>
    <xf numFmtId="0" fontId="0" fillId="0" borderId="19" xfId="0" applyBorder="1" applyAlignment="1">
      <alignment horizontal="center" wrapText="1"/>
    </xf>
    <xf numFmtId="0" fontId="0" fillId="0" borderId="3" xfId="0" applyBorder="1" applyAlignment="1">
      <alignment horizontal="left" wrapText="1"/>
    </xf>
    <xf numFmtId="0" fontId="8" fillId="0" borderId="5" xfId="0" applyFont="1" applyBorder="1" applyAlignment="1">
      <alignment horizontal="left" wrapText="1"/>
    </xf>
    <xf numFmtId="0" fontId="8" fillId="0" borderId="0" xfId="0" applyFont="1" applyBorder="1" applyAlignment="1">
      <alignment horizontal="left" wrapText="1"/>
    </xf>
    <xf numFmtId="0" fontId="0" fillId="0" borderId="30" xfId="0" applyBorder="1" applyAlignment="1">
      <alignment horizontal="left" wrapText="1"/>
    </xf>
    <xf numFmtId="0" fontId="0" fillId="0" borderId="29" xfId="0"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layout>
        <c:manualLayout>
          <c:xMode val="edge"/>
          <c:yMode val="edge"/>
          <c:x val="0.18735696534849441"/>
          <c:y val="5.0884357012224997E-2"/>
        </c:manualLayout>
      </c:layout>
    </c:title>
    <c:plotArea>
      <c:layout>
        <c:manualLayout>
          <c:layoutTarget val="inner"/>
          <c:xMode val="edge"/>
          <c:yMode val="edge"/>
          <c:x val="4.3944107869191035E-2"/>
          <c:y val="0.14288211427746694"/>
          <c:w val="0.60969662468642993"/>
          <c:h val="0.72656125214490763"/>
        </c:manualLayout>
      </c:layout>
      <c:scatterChart>
        <c:scatterStyle val="smoothMarker"/>
        <c:ser>
          <c:idx val="0"/>
          <c:order val="0"/>
          <c:tx>
            <c:v>Pressure Distribution</c:v>
          </c:tx>
          <c:xVal>
            <c:numRef>
              <c:f>'Elastic Method Finite'!$D$24:$D$34</c:f>
              <c:numCache>
                <c:formatCode>General</c:formatCode>
                <c:ptCount val="11"/>
                <c:pt idx="0">
                  <c:v>0</c:v>
                </c:pt>
                <c:pt idx="1">
                  <c:v>340.24845437829725</c:v>
                </c:pt>
                <c:pt idx="2">
                  <c:v>324.74259536570668</c:v>
                </c:pt>
                <c:pt idx="3">
                  <c:v>186.41322908268435</c:v>
                </c:pt>
                <c:pt idx="4">
                  <c:v>95.803647340897044</c:v>
                </c:pt>
                <c:pt idx="5">
                  <c:v>48.628253374184595</c:v>
                </c:pt>
                <c:pt idx="6">
                  <c:v>24.869315644387729</c:v>
                </c:pt>
                <c:pt idx="7">
                  <c:v>12.694957403780215</c:v>
                </c:pt>
                <c:pt idx="8">
                  <c:v>6.2753558785520598</c:v>
                </c:pt>
                <c:pt idx="9">
                  <c:v>2.7988999907617185</c:v>
                </c:pt>
                <c:pt idx="10">
                  <c:v>0.88006986222591754</c:v>
                </c:pt>
              </c:numCache>
            </c:numRef>
          </c:xVal>
          <c:yVal>
            <c:numRef>
              <c:f>'Elastic Method Finite'!$C$24:$C$34</c:f>
              <c:numCache>
                <c:formatCode>General</c:formatCode>
                <c:ptCount val="11"/>
                <c:pt idx="0">
                  <c:v>7.5</c:v>
                </c:pt>
                <c:pt idx="1">
                  <c:v>6.75</c:v>
                </c:pt>
                <c:pt idx="2">
                  <c:v>6</c:v>
                </c:pt>
                <c:pt idx="3">
                  <c:v>5.25</c:v>
                </c:pt>
                <c:pt idx="4">
                  <c:v>4.5</c:v>
                </c:pt>
                <c:pt idx="5">
                  <c:v>3.75</c:v>
                </c:pt>
                <c:pt idx="6">
                  <c:v>3</c:v>
                </c:pt>
                <c:pt idx="7">
                  <c:v>2.25</c:v>
                </c:pt>
                <c:pt idx="8">
                  <c:v>1.5</c:v>
                </c:pt>
                <c:pt idx="9">
                  <c:v>0.75</c:v>
                </c:pt>
                <c:pt idx="10">
                  <c:v>0</c:v>
                </c:pt>
              </c:numCache>
            </c:numRef>
          </c:yVal>
          <c:smooth val="1"/>
        </c:ser>
        <c:axId val="75318400"/>
        <c:axId val="75319936"/>
      </c:scatterChart>
      <c:valAx>
        <c:axId val="75318400"/>
        <c:scaling>
          <c:orientation val="minMax"/>
        </c:scaling>
        <c:axPos val="b"/>
        <c:numFmt formatCode="General" sourceLinked="1"/>
        <c:tickLblPos val="nextTo"/>
        <c:crossAx val="75319936"/>
        <c:crosses val="autoZero"/>
        <c:crossBetween val="midCat"/>
      </c:valAx>
      <c:valAx>
        <c:axId val="75319936"/>
        <c:scaling>
          <c:orientation val="minMax"/>
        </c:scaling>
        <c:axPos val="l"/>
        <c:majorGridlines/>
        <c:numFmt formatCode="General" sourceLinked="1"/>
        <c:tickLblPos val="nextTo"/>
        <c:crossAx val="75318400"/>
        <c:crosses val="autoZero"/>
        <c:crossBetween val="midCat"/>
      </c:valAx>
    </c:plotArea>
    <c:legend>
      <c:legendPos val="r"/>
      <c:layout/>
    </c:legend>
    <c:plotVisOnly val="1"/>
  </c:chart>
  <c:printSettings>
    <c:headerFooter/>
    <c:pageMargins b="0.75000000000000189" l="0.70000000000000062" r="0.70000000000000062" t="0.750000000000001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smoothMarker"/>
        <c:ser>
          <c:idx val="0"/>
          <c:order val="0"/>
          <c:tx>
            <c:v>Pressure Distribution</c:v>
          </c:tx>
          <c:xVal>
            <c:numRef>
              <c:f>'Point Load Mod Terzaghi'!$D$13:$D$23</c:f>
              <c:numCache>
                <c:formatCode>0.00</c:formatCode>
                <c:ptCount val="11"/>
                <c:pt idx="0">
                  <c:v>0</c:v>
                </c:pt>
                <c:pt idx="1">
                  <c:v>140.8327114005925</c:v>
                </c:pt>
                <c:pt idx="2">
                  <c:v>345.95555555555558</c:v>
                </c:pt>
                <c:pt idx="3">
                  <c:v>398.54079999999999</c:v>
                </c:pt>
                <c:pt idx="4">
                  <c:v>337.84722222222211</c:v>
                </c:pt>
                <c:pt idx="5">
                  <c:v>250.97978522914318</c:v>
                </c:pt>
                <c:pt idx="6">
                  <c:v>177.15065999089666</c:v>
                </c:pt>
                <c:pt idx="7">
                  <c:v>123.45432660698935</c:v>
                </c:pt>
                <c:pt idx="8">
                  <c:v>86.48888888888888</c:v>
                </c:pt>
                <c:pt idx="9">
                  <c:v>61.407316749810704</c:v>
                </c:pt>
                <c:pt idx="10">
                  <c:v>44.327816274185551</c:v>
                </c:pt>
              </c:numCache>
            </c:numRef>
          </c:xVal>
          <c:yVal>
            <c:numRef>
              <c:f>'Point Load Mod Terzaghi'!$C$13:$C$23</c:f>
              <c:numCache>
                <c:formatCode>0.00</c:formatCode>
                <c:ptCount val="11"/>
                <c:pt idx="0">
                  <c:v>7.5</c:v>
                </c:pt>
                <c:pt idx="1">
                  <c:v>6.75</c:v>
                </c:pt>
                <c:pt idx="2">
                  <c:v>6</c:v>
                </c:pt>
                <c:pt idx="3">
                  <c:v>5.25</c:v>
                </c:pt>
                <c:pt idx="4">
                  <c:v>4.5</c:v>
                </c:pt>
                <c:pt idx="5">
                  <c:v>3.75</c:v>
                </c:pt>
                <c:pt idx="6">
                  <c:v>3</c:v>
                </c:pt>
                <c:pt idx="7">
                  <c:v>2.25</c:v>
                </c:pt>
                <c:pt idx="8">
                  <c:v>1.5</c:v>
                </c:pt>
                <c:pt idx="9">
                  <c:v>0.75</c:v>
                </c:pt>
                <c:pt idx="10">
                  <c:v>0</c:v>
                </c:pt>
              </c:numCache>
            </c:numRef>
          </c:yVal>
          <c:smooth val="1"/>
        </c:ser>
        <c:axId val="82848768"/>
        <c:axId val="82862848"/>
      </c:scatterChart>
      <c:valAx>
        <c:axId val="82848768"/>
        <c:scaling>
          <c:orientation val="minMax"/>
        </c:scaling>
        <c:axPos val="b"/>
        <c:numFmt formatCode="0.00" sourceLinked="1"/>
        <c:tickLblPos val="nextTo"/>
        <c:crossAx val="82862848"/>
        <c:crosses val="autoZero"/>
        <c:crossBetween val="midCat"/>
      </c:valAx>
      <c:valAx>
        <c:axId val="82862848"/>
        <c:scaling>
          <c:orientation val="minMax"/>
        </c:scaling>
        <c:axPos val="l"/>
        <c:majorGridlines/>
        <c:numFmt formatCode="0.00" sourceLinked="1"/>
        <c:tickLblPos val="nextTo"/>
        <c:crossAx val="82848768"/>
        <c:crosses val="autoZero"/>
        <c:crossBetween val="midCat"/>
      </c:valAx>
    </c:plotArea>
    <c:legend>
      <c:legendPos val="r"/>
      <c:layout/>
    </c:legend>
    <c:plotVisOnly val="1"/>
  </c:chart>
  <c:printSettings>
    <c:headerFooter/>
    <c:pageMargins b="0.75000000000000244" l="0.70000000000000062" r="0.70000000000000062" t="0.750000000000002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layout/>
    </c:title>
    <c:plotArea>
      <c:layout/>
      <c:scatterChart>
        <c:scatterStyle val="smoothMarker"/>
        <c:ser>
          <c:idx val="0"/>
          <c:order val="0"/>
          <c:tx>
            <c:v>Pressure Distribution</c:v>
          </c:tx>
          <c:xVal>
            <c:numRef>
              <c:f>'Point Load Mod Terzaghi'!$M$13:$M$23</c:f>
              <c:numCache>
                <c:formatCode>0.00</c:formatCode>
                <c:ptCount val="11"/>
                <c:pt idx="0">
                  <c:v>0</c:v>
                </c:pt>
                <c:pt idx="1">
                  <c:v>582.85691370814152</c:v>
                </c:pt>
                <c:pt idx="2">
                  <c:v>906.96499200000017</c:v>
                </c:pt>
                <c:pt idx="3">
                  <c:v>669.37430218541158</c:v>
                </c:pt>
                <c:pt idx="4">
                  <c:v>403.14428766499759</c:v>
                </c:pt>
                <c:pt idx="5">
                  <c:v>234.84267201887647</c:v>
                </c:pt>
                <c:pt idx="6">
                  <c:v>139.74550797492637</c:v>
                </c:pt>
                <c:pt idx="7">
                  <c:v>86.268546003546589</c:v>
                </c:pt>
                <c:pt idx="8">
                  <c:v>55.35674999999997</c:v>
                </c:pt>
                <c:pt idx="9">
                  <c:v>36.829514140044282</c:v>
                </c:pt>
                <c:pt idx="10">
                  <c:v>25.310424610186331</c:v>
                </c:pt>
              </c:numCache>
            </c:numRef>
          </c:xVal>
          <c:yVal>
            <c:numRef>
              <c:f>'Point Load Mod Terzaghi'!$L$13:$L$23</c:f>
              <c:numCache>
                <c:formatCode>0.00</c:formatCode>
                <c:ptCount val="11"/>
                <c:pt idx="0">
                  <c:v>7.5</c:v>
                </c:pt>
                <c:pt idx="1">
                  <c:v>6.75</c:v>
                </c:pt>
                <c:pt idx="2">
                  <c:v>6</c:v>
                </c:pt>
                <c:pt idx="3">
                  <c:v>5.25</c:v>
                </c:pt>
                <c:pt idx="4">
                  <c:v>4.5</c:v>
                </c:pt>
                <c:pt idx="5">
                  <c:v>3.75</c:v>
                </c:pt>
                <c:pt idx="6">
                  <c:v>3</c:v>
                </c:pt>
                <c:pt idx="7">
                  <c:v>2.25</c:v>
                </c:pt>
                <c:pt idx="8">
                  <c:v>1.5</c:v>
                </c:pt>
                <c:pt idx="9">
                  <c:v>0.75</c:v>
                </c:pt>
                <c:pt idx="10">
                  <c:v>0</c:v>
                </c:pt>
              </c:numCache>
            </c:numRef>
          </c:yVal>
          <c:smooth val="1"/>
        </c:ser>
        <c:axId val="82878848"/>
        <c:axId val="82880384"/>
      </c:scatterChart>
      <c:valAx>
        <c:axId val="82878848"/>
        <c:scaling>
          <c:orientation val="minMax"/>
        </c:scaling>
        <c:axPos val="b"/>
        <c:numFmt formatCode="0.00" sourceLinked="1"/>
        <c:tickLblPos val="nextTo"/>
        <c:crossAx val="82880384"/>
        <c:crosses val="autoZero"/>
        <c:crossBetween val="midCat"/>
      </c:valAx>
      <c:valAx>
        <c:axId val="82880384"/>
        <c:scaling>
          <c:orientation val="minMax"/>
        </c:scaling>
        <c:axPos val="l"/>
        <c:majorGridlines/>
        <c:numFmt formatCode="0.00" sourceLinked="1"/>
        <c:tickLblPos val="nextTo"/>
        <c:crossAx val="82878848"/>
        <c:crosses val="autoZero"/>
        <c:crossBetween val="midCat"/>
      </c:valAx>
    </c:plotArea>
    <c:legend>
      <c:legendPos val="r"/>
      <c:layout/>
    </c:legend>
    <c:plotVisOnly val="1"/>
  </c:chart>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layout>
        <c:manualLayout>
          <c:xMode val="edge"/>
          <c:yMode val="edge"/>
          <c:x val="0.18735696534849441"/>
          <c:y val="5.0884357012224997E-2"/>
        </c:manualLayout>
      </c:layout>
    </c:title>
    <c:plotArea>
      <c:layout>
        <c:manualLayout>
          <c:layoutTarget val="inner"/>
          <c:xMode val="edge"/>
          <c:yMode val="edge"/>
          <c:x val="4.3944107869191035E-2"/>
          <c:y val="0.14288211427746694"/>
          <c:w val="0.60969662468643016"/>
          <c:h val="0.72656125214490763"/>
        </c:manualLayout>
      </c:layout>
      <c:scatterChart>
        <c:scatterStyle val="smoothMarker"/>
        <c:ser>
          <c:idx val="0"/>
          <c:order val="0"/>
          <c:tx>
            <c:v>Pressure Distribution</c:v>
          </c:tx>
          <c:xVal>
            <c:numRef>
              <c:f>'Elastic Method (Discrete) Strip'!$D$25:$D$55</c:f>
              <c:numCache>
                <c:formatCode>General</c:formatCode>
                <c:ptCount val="31"/>
                <c:pt idx="0">
                  <c:v>-0.16308916164846329</c:v>
                </c:pt>
                <c:pt idx="1">
                  <c:v>24.711393935923049</c:v>
                </c:pt>
                <c:pt idx="2">
                  <c:v>47.584199596143016</c:v>
                </c:pt>
                <c:pt idx="3">
                  <c:v>64.758407945612177</c:v>
                </c:pt>
                <c:pt idx="4">
                  <c:v>76.018271669862131</c:v>
                </c:pt>
                <c:pt idx="5">
                  <c:v>82.002196165177352</c:v>
                </c:pt>
                <c:pt idx="6">
                  <c:v>83.865774821298956</c:v>
                </c:pt>
                <c:pt idx="7">
                  <c:v>82.820407948768349</c:v>
                </c:pt>
                <c:pt idx="8">
                  <c:v>79.890898759696526</c:v>
                </c:pt>
                <c:pt idx="9">
                  <c:v>75.848540442302053</c:v>
                </c:pt>
                <c:pt idx="10">
                  <c:v>71.232852130042176</c:v>
                </c:pt>
                <c:pt idx="11">
                  <c:v>66.402204298662127</c:v>
                </c:pt>
                <c:pt idx="12">
                  <c:v>61.584576014802579</c:v>
                </c:pt>
                <c:pt idx="13">
                  <c:v>56.91856178174266</c:v>
                </c:pt>
                <c:pt idx="14">
                  <c:v>52.48339895855176</c:v>
                </c:pt>
                <c:pt idx="15">
                  <c:v>48.319817930805421</c:v>
                </c:pt>
                <c:pt idx="16">
                  <c:v>44.444076456976866</c:v>
                </c:pt>
                <c:pt idx="17">
                  <c:v>40.857226162674955</c:v>
                </c:pt>
                <c:pt idx="18">
                  <c:v>37.551153347470105</c:v>
                </c:pt>
                <c:pt idx="19">
                  <c:v>34.512479327903812</c:v>
                </c:pt>
                <c:pt idx="20">
                  <c:v>31.725056451402729</c:v>
                </c:pt>
                <c:pt idx="21">
                  <c:v>29.171548816720723</c:v>
                </c:pt>
                <c:pt idx="22">
                  <c:v>26.834418765273156</c:v>
                </c:pt>
                <c:pt idx="23">
                  <c:v>24.696528596169792</c:v>
                </c:pt>
                <c:pt idx="24">
                  <c:v>22.74149374604848</c:v>
                </c:pt>
                <c:pt idx="25">
                  <c:v>20.953875984733681</c:v>
                </c:pt>
                <c:pt idx="26">
                  <c:v>19.319274211833203</c:v>
                </c:pt>
                <c:pt idx="27">
                  <c:v>17.824350347492789</c:v>
                </c:pt>
                <c:pt idx="28">
                  <c:v>16.456814761829381</c:v>
                </c:pt>
                <c:pt idx="29">
                  <c:v>15.205387195176286</c:v>
                </c:pt>
                <c:pt idx="30">
                  <c:v>14.059743578009632</c:v>
                </c:pt>
              </c:numCache>
            </c:numRef>
          </c:xVal>
          <c:yVal>
            <c:numRef>
              <c:f>'Elastic Method (Discrete) Strip'!$B$25:$B$55</c:f>
              <c:numCache>
                <c:formatCode>General</c:formatCode>
                <c:ptCount val="31"/>
                <c:pt idx="0">
                  <c:v>7.5</c:v>
                </c:pt>
                <c:pt idx="1">
                  <c:v>7.25</c:v>
                </c:pt>
                <c:pt idx="2">
                  <c:v>7</c:v>
                </c:pt>
                <c:pt idx="3">
                  <c:v>6.75</c:v>
                </c:pt>
                <c:pt idx="4">
                  <c:v>6.5</c:v>
                </c:pt>
                <c:pt idx="5">
                  <c:v>6.25</c:v>
                </c:pt>
                <c:pt idx="6">
                  <c:v>6</c:v>
                </c:pt>
                <c:pt idx="7">
                  <c:v>5.75</c:v>
                </c:pt>
                <c:pt idx="8">
                  <c:v>5.5</c:v>
                </c:pt>
                <c:pt idx="9">
                  <c:v>5.25</c:v>
                </c:pt>
                <c:pt idx="10">
                  <c:v>5</c:v>
                </c:pt>
                <c:pt idx="11">
                  <c:v>4.75</c:v>
                </c:pt>
                <c:pt idx="12">
                  <c:v>4.5</c:v>
                </c:pt>
                <c:pt idx="13">
                  <c:v>4.25</c:v>
                </c:pt>
                <c:pt idx="14">
                  <c:v>4</c:v>
                </c:pt>
                <c:pt idx="15">
                  <c:v>3.75</c:v>
                </c:pt>
                <c:pt idx="16">
                  <c:v>3.5</c:v>
                </c:pt>
                <c:pt idx="17">
                  <c:v>3.25</c:v>
                </c:pt>
                <c:pt idx="18">
                  <c:v>3</c:v>
                </c:pt>
                <c:pt idx="19">
                  <c:v>2.75</c:v>
                </c:pt>
                <c:pt idx="20">
                  <c:v>2.5</c:v>
                </c:pt>
                <c:pt idx="21">
                  <c:v>2.25</c:v>
                </c:pt>
                <c:pt idx="22">
                  <c:v>2</c:v>
                </c:pt>
                <c:pt idx="23">
                  <c:v>1.75</c:v>
                </c:pt>
                <c:pt idx="24">
                  <c:v>1.5</c:v>
                </c:pt>
                <c:pt idx="25">
                  <c:v>1.25</c:v>
                </c:pt>
                <c:pt idx="26">
                  <c:v>1</c:v>
                </c:pt>
                <c:pt idx="27">
                  <c:v>0.75</c:v>
                </c:pt>
                <c:pt idx="28">
                  <c:v>0.5</c:v>
                </c:pt>
                <c:pt idx="29">
                  <c:v>0.25</c:v>
                </c:pt>
                <c:pt idx="30">
                  <c:v>0</c:v>
                </c:pt>
              </c:numCache>
            </c:numRef>
          </c:yVal>
          <c:smooth val="1"/>
        </c:ser>
        <c:axId val="75332608"/>
        <c:axId val="80671488"/>
      </c:scatterChart>
      <c:valAx>
        <c:axId val="75332608"/>
        <c:scaling>
          <c:orientation val="minMax"/>
        </c:scaling>
        <c:axPos val="b"/>
        <c:numFmt formatCode="General" sourceLinked="1"/>
        <c:tickLblPos val="nextTo"/>
        <c:crossAx val="80671488"/>
        <c:crosses val="autoZero"/>
        <c:crossBetween val="midCat"/>
      </c:valAx>
      <c:valAx>
        <c:axId val="80671488"/>
        <c:scaling>
          <c:orientation val="minMax"/>
        </c:scaling>
        <c:axPos val="l"/>
        <c:majorGridlines/>
        <c:numFmt formatCode="General" sourceLinked="1"/>
        <c:tickLblPos val="nextTo"/>
        <c:crossAx val="75332608"/>
        <c:crosses val="autoZero"/>
        <c:crossBetween val="midCat"/>
      </c:valAx>
    </c:plotArea>
    <c:legend>
      <c:legendPos val="r"/>
      <c:layout/>
    </c:legend>
    <c:plotVisOnly val="1"/>
  </c:chart>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Pressure </a:t>
            </a:r>
          </a:p>
        </c:rich>
      </c:tx>
      <c:layout/>
    </c:title>
    <c:plotArea>
      <c:layout/>
      <c:scatterChart>
        <c:scatterStyle val="smoothMarker"/>
        <c:ser>
          <c:idx val="0"/>
          <c:order val="0"/>
          <c:tx>
            <c:v>Pressure at Back of Wall</c:v>
          </c:tx>
          <c:xVal>
            <c:numRef>
              <c:f>'Strip Load Mod Terzaghi'!$I$23:$I$43</c:f>
              <c:numCache>
                <c:formatCode>0.00</c:formatCode>
                <c:ptCount val="21"/>
                <c:pt idx="0">
                  <c:v>0</c:v>
                </c:pt>
                <c:pt idx="1">
                  <c:v>151.12994514295968</c:v>
                </c:pt>
                <c:pt idx="2">
                  <c:v>277.55424789640148</c:v>
                </c:pt>
                <c:pt idx="3">
                  <c:v>366.70036121521736</c:v>
                </c:pt>
                <c:pt idx="4">
                  <c:v>419.28309307761845</c:v>
                </c:pt>
                <c:pt idx="5">
                  <c:v>442.93305575618996</c:v>
                </c:pt>
                <c:pt idx="6">
                  <c:v>446.35777551966845</c:v>
                </c:pt>
                <c:pt idx="7">
                  <c:v>436.71734914148885</c:v>
                </c:pt>
                <c:pt idx="8">
                  <c:v>419.15753757293868</c:v>
                </c:pt>
                <c:pt idx="9">
                  <c:v>397.15274326125592</c:v>
                </c:pt>
                <c:pt idx="10">
                  <c:v>372.97981295126311</c:v>
                </c:pt>
                <c:pt idx="11">
                  <c:v>348.10611764581154</c:v>
                </c:pt>
                <c:pt idx="12">
                  <c:v>323.46310883117701</c:v>
                </c:pt>
                <c:pt idx="13">
                  <c:v>299.62870848204221</c:v>
                </c:pt>
                <c:pt idx="14">
                  <c:v>276.94688823932273</c:v>
                </c:pt>
                <c:pt idx="15">
                  <c:v>255.60619333315827</c:v>
                </c:pt>
                <c:pt idx="16">
                  <c:v>235.69182778249845</c:v>
                </c:pt>
                <c:pt idx="17">
                  <c:v>217.22064939291451</c:v>
                </c:pt>
                <c:pt idx="18">
                  <c:v>200.16497003706738</c:v>
                </c:pt>
                <c:pt idx="19">
                  <c:v>184.46889425285869</c:v>
                </c:pt>
                <c:pt idx="20">
                  <c:v>170.05959383488806</c:v>
                </c:pt>
              </c:numCache>
            </c:numRef>
          </c:xVal>
          <c:yVal>
            <c:numRef>
              <c:f>'Strip Load Mod Terzaghi'!$G$23:$G$43</c:f>
              <c:numCache>
                <c:formatCode>0.00</c:formatCode>
                <c:ptCount val="21"/>
                <c:pt idx="0">
                  <c:v>7.5</c:v>
                </c:pt>
                <c:pt idx="1">
                  <c:v>7.125</c:v>
                </c:pt>
                <c:pt idx="2">
                  <c:v>6.75</c:v>
                </c:pt>
                <c:pt idx="3">
                  <c:v>6.375</c:v>
                </c:pt>
                <c:pt idx="4">
                  <c:v>6</c:v>
                </c:pt>
                <c:pt idx="5">
                  <c:v>5.625</c:v>
                </c:pt>
                <c:pt idx="6">
                  <c:v>5.25</c:v>
                </c:pt>
                <c:pt idx="7">
                  <c:v>4.875</c:v>
                </c:pt>
                <c:pt idx="8">
                  <c:v>4.5</c:v>
                </c:pt>
                <c:pt idx="9">
                  <c:v>4.125</c:v>
                </c:pt>
                <c:pt idx="10">
                  <c:v>3.75</c:v>
                </c:pt>
                <c:pt idx="11">
                  <c:v>3.375</c:v>
                </c:pt>
                <c:pt idx="12">
                  <c:v>3</c:v>
                </c:pt>
                <c:pt idx="13">
                  <c:v>2.625</c:v>
                </c:pt>
                <c:pt idx="14">
                  <c:v>2.25</c:v>
                </c:pt>
                <c:pt idx="15">
                  <c:v>1.875</c:v>
                </c:pt>
                <c:pt idx="16">
                  <c:v>1.5</c:v>
                </c:pt>
                <c:pt idx="17">
                  <c:v>1.125</c:v>
                </c:pt>
                <c:pt idx="18">
                  <c:v>0.75</c:v>
                </c:pt>
                <c:pt idx="19">
                  <c:v>0.375</c:v>
                </c:pt>
                <c:pt idx="20">
                  <c:v>0</c:v>
                </c:pt>
              </c:numCache>
            </c:numRef>
          </c:yVal>
          <c:smooth val="1"/>
        </c:ser>
        <c:axId val="80758272"/>
        <c:axId val="80759808"/>
      </c:scatterChart>
      <c:valAx>
        <c:axId val="80758272"/>
        <c:scaling>
          <c:orientation val="minMax"/>
        </c:scaling>
        <c:axPos val="b"/>
        <c:numFmt formatCode="0.00" sourceLinked="1"/>
        <c:tickLblPos val="nextTo"/>
        <c:crossAx val="80759808"/>
        <c:crosses val="autoZero"/>
        <c:crossBetween val="midCat"/>
      </c:valAx>
      <c:valAx>
        <c:axId val="80759808"/>
        <c:scaling>
          <c:orientation val="minMax"/>
        </c:scaling>
        <c:axPos val="l"/>
        <c:majorGridlines/>
        <c:numFmt formatCode="0.00" sourceLinked="1"/>
        <c:tickLblPos val="nextTo"/>
        <c:crossAx val="80758272"/>
        <c:crosses val="autoZero"/>
        <c:crossBetween val="midCat"/>
      </c:valAx>
    </c:plotArea>
    <c:legend>
      <c:legendPos val="r"/>
      <c:layout/>
    </c:legend>
    <c:plotVisOnly val="1"/>
  </c:chart>
  <c:printSettings>
    <c:headerFooter/>
    <c:pageMargins b="0.750000000000004" l="0.70000000000000062" r="0.70000000000000062" t="0.75000000000000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Pressure </a:t>
            </a:r>
          </a:p>
        </c:rich>
      </c:tx>
    </c:title>
    <c:plotArea>
      <c:layout/>
      <c:scatterChart>
        <c:scatterStyle val="smoothMarker"/>
        <c:ser>
          <c:idx val="0"/>
          <c:order val="0"/>
          <c:tx>
            <c:v>Pressure at Back of Wall</c:v>
          </c:tx>
          <c:xVal>
            <c:numRef>
              <c:f>'Strip Load Mod Ter. (Backslope)'!$I$31:$I$51</c:f>
              <c:numCache>
                <c:formatCode>0.00</c:formatCode>
                <c:ptCount val="21"/>
                <c:pt idx="0">
                  <c:v>0</c:v>
                </c:pt>
                <c:pt idx="1">
                  <c:v>27.290177611689508</c:v>
                </c:pt>
                <c:pt idx="2">
                  <c:v>54.510757353299553</c:v>
                </c:pt>
                <c:pt idx="3">
                  <c:v>81.592653104161272</c:v>
                </c:pt>
                <c:pt idx="4">
                  <c:v>108.46779447001131</c:v>
                </c:pt>
                <c:pt idx="5">
                  <c:v>135.06961541798751</c:v>
                </c:pt>
                <c:pt idx="6">
                  <c:v>161.33352039756346</c:v>
                </c:pt>
                <c:pt idx="7">
                  <c:v>187.19732135186561</c:v>
                </c:pt>
                <c:pt idx="8">
                  <c:v>212.60163975679077</c:v>
                </c:pt>
                <c:pt idx="9">
                  <c:v>237.49026868667517</c:v>
                </c:pt>
                <c:pt idx="10">
                  <c:v>261.81049086304932</c:v>
                </c:pt>
                <c:pt idx="11">
                  <c:v>285.51334966271315</c:v>
                </c:pt>
                <c:pt idx="12">
                  <c:v>308.55387110802326</c:v>
                </c:pt>
                <c:pt idx="13">
                  <c:v>330.8912359019115</c:v>
                </c:pt>
                <c:pt idx="14">
                  <c:v>352.48890157108042</c:v>
                </c:pt>
                <c:pt idx="15">
                  <c:v>373.31467571539855</c:v>
                </c:pt>
                <c:pt idx="16">
                  <c:v>393.34074220636182</c:v>
                </c:pt>
                <c:pt idx="17">
                  <c:v>412.54364291490896</c:v>
                </c:pt>
                <c:pt idx="18">
                  <c:v>430.90421816621699</c:v>
                </c:pt>
                <c:pt idx="19">
                  <c:v>448.40750960968376</c:v>
                </c:pt>
                <c:pt idx="20">
                  <c:v>465.04262955424377</c:v>
                </c:pt>
              </c:numCache>
            </c:numRef>
          </c:xVal>
          <c:yVal>
            <c:numRef>
              <c:f>'Strip Load Mod Ter. (Backslope)'!$G$31:$G$51</c:f>
              <c:numCache>
                <c:formatCode>0.00</c:formatCode>
                <c:ptCount val="21"/>
                <c:pt idx="0">
                  <c:v>3</c:v>
                </c:pt>
                <c:pt idx="1">
                  <c:v>2.85</c:v>
                </c:pt>
                <c:pt idx="2">
                  <c:v>2.7</c:v>
                </c:pt>
                <c:pt idx="3">
                  <c:v>2.5499999999999998</c:v>
                </c:pt>
                <c:pt idx="4">
                  <c:v>2.4</c:v>
                </c:pt>
                <c:pt idx="5">
                  <c:v>2.25</c:v>
                </c:pt>
                <c:pt idx="6">
                  <c:v>2.1</c:v>
                </c:pt>
                <c:pt idx="7">
                  <c:v>1.9500000000000002</c:v>
                </c:pt>
                <c:pt idx="8">
                  <c:v>1.7999999999999998</c:v>
                </c:pt>
                <c:pt idx="9">
                  <c:v>1.65</c:v>
                </c:pt>
                <c:pt idx="10">
                  <c:v>1.5</c:v>
                </c:pt>
                <c:pt idx="11">
                  <c:v>1.3499999999999999</c:v>
                </c:pt>
                <c:pt idx="12">
                  <c:v>1.2000000000000002</c:v>
                </c:pt>
                <c:pt idx="13">
                  <c:v>1.0499999999999998</c:v>
                </c:pt>
                <c:pt idx="14">
                  <c:v>0.90000000000000036</c:v>
                </c:pt>
                <c:pt idx="15">
                  <c:v>0.75</c:v>
                </c:pt>
                <c:pt idx="16">
                  <c:v>0.59999999999999964</c:v>
                </c:pt>
                <c:pt idx="17">
                  <c:v>0.45000000000000018</c:v>
                </c:pt>
                <c:pt idx="18">
                  <c:v>0.29999999999999982</c:v>
                </c:pt>
                <c:pt idx="19">
                  <c:v>0.15000000000000036</c:v>
                </c:pt>
                <c:pt idx="20">
                  <c:v>0</c:v>
                </c:pt>
              </c:numCache>
            </c:numRef>
          </c:yVal>
          <c:smooth val="1"/>
        </c:ser>
        <c:axId val="80821248"/>
        <c:axId val="80823040"/>
      </c:scatterChart>
      <c:valAx>
        <c:axId val="80821248"/>
        <c:scaling>
          <c:orientation val="minMax"/>
        </c:scaling>
        <c:axPos val="b"/>
        <c:numFmt formatCode="0.00" sourceLinked="1"/>
        <c:tickLblPos val="nextTo"/>
        <c:crossAx val="80823040"/>
        <c:crosses val="autoZero"/>
        <c:crossBetween val="midCat"/>
      </c:valAx>
      <c:valAx>
        <c:axId val="80823040"/>
        <c:scaling>
          <c:orientation val="minMax"/>
        </c:scaling>
        <c:axPos val="l"/>
        <c:majorGridlines/>
        <c:numFmt formatCode="0.00" sourceLinked="1"/>
        <c:tickLblPos val="nextTo"/>
        <c:crossAx val="80821248"/>
        <c:crosses val="autoZero"/>
        <c:crossBetween val="midCat"/>
      </c:valAx>
    </c:plotArea>
    <c:legend>
      <c:legendPos val="r"/>
    </c:legend>
    <c:plotVisOnly val="1"/>
  </c:chart>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Pressure </a:t>
            </a:r>
          </a:p>
        </c:rich>
      </c:tx>
    </c:title>
    <c:plotArea>
      <c:layout/>
      <c:scatterChart>
        <c:scatterStyle val="smoothMarker"/>
        <c:ser>
          <c:idx val="0"/>
          <c:order val="0"/>
          <c:tx>
            <c:v>Pressure at Back of Wall</c:v>
          </c:tx>
          <c:xVal>
            <c:numRef>
              <c:f>'Strip Load Anders (Backslope)'!$I$31:$I$51</c:f>
              <c:numCache>
                <c:formatCode>0.00</c:formatCode>
                <c:ptCount val="21"/>
                <c:pt idx="0">
                  <c:v>0</c:v>
                </c:pt>
                <c:pt idx="1">
                  <c:v>47.107507198590795</c:v>
                </c:pt>
                <c:pt idx="2">
                  <c:v>90.607301211157107</c:v>
                </c:pt>
                <c:pt idx="3">
                  <c:v>127.87061196683845</c:v>
                </c:pt>
                <c:pt idx="4">
                  <c:v>157.67845787336023</c:v>
                </c:pt>
                <c:pt idx="5">
                  <c:v>180.04536366199471</c:v>
                </c:pt>
                <c:pt idx="6">
                  <c:v>195.75511721290411</c:v>
                </c:pt>
                <c:pt idx="7">
                  <c:v>205.91838124380405</c:v>
                </c:pt>
                <c:pt idx="8">
                  <c:v>211.67948234345971</c:v>
                </c:pt>
                <c:pt idx="9">
                  <c:v>214.06706509223818</c:v>
                </c:pt>
                <c:pt idx="10">
                  <c:v>213.94012728581518</c:v>
                </c:pt>
                <c:pt idx="11">
                  <c:v>211.98507177939069</c:v>
                </c:pt>
                <c:pt idx="12">
                  <c:v>208.73511815320512</c:v>
                </c:pt>
                <c:pt idx="13">
                  <c:v>204.5965735906008</c:v>
                </c:pt>
                <c:pt idx="14">
                  <c:v>199.8746581590342</c:v>
                </c:pt>
                <c:pt idx="15">
                  <c:v>194.79600087791562</c:v>
                </c:pt>
                <c:pt idx="16">
                  <c:v>189.52707911977265</c:v>
                </c:pt>
                <c:pt idx="17">
                  <c:v>184.18881758192478</c:v>
                </c:pt>
                <c:pt idx="18">
                  <c:v>178.86790461506817</c:v>
                </c:pt>
                <c:pt idx="19">
                  <c:v>173.62544691325107</c:v>
                </c:pt>
                <c:pt idx="20">
                  <c:v>168.50353095209252</c:v>
                </c:pt>
              </c:numCache>
            </c:numRef>
          </c:xVal>
          <c:yVal>
            <c:numRef>
              <c:f>'Strip Load Anders (Backslope)'!$G$31:$G$51</c:f>
              <c:numCache>
                <c:formatCode>0.00</c:formatCode>
                <c:ptCount val="21"/>
                <c:pt idx="0">
                  <c:v>30</c:v>
                </c:pt>
                <c:pt idx="1">
                  <c:v>28.5</c:v>
                </c:pt>
                <c:pt idx="2">
                  <c:v>27</c:v>
                </c:pt>
                <c:pt idx="3">
                  <c:v>25.5</c:v>
                </c:pt>
                <c:pt idx="4">
                  <c:v>24</c:v>
                </c:pt>
                <c:pt idx="5">
                  <c:v>22.5</c:v>
                </c:pt>
                <c:pt idx="6">
                  <c:v>21</c:v>
                </c:pt>
                <c:pt idx="7">
                  <c:v>19.5</c:v>
                </c:pt>
                <c:pt idx="8">
                  <c:v>18</c:v>
                </c:pt>
                <c:pt idx="9">
                  <c:v>16.5</c:v>
                </c:pt>
                <c:pt idx="10">
                  <c:v>15</c:v>
                </c:pt>
                <c:pt idx="11">
                  <c:v>13.5</c:v>
                </c:pt>
                <c:pt idx="12">
                  <c:v>12</c:v>
                </c:pt>
                <c:pt idx="13">
                  <c:v>10.5</c:v>
                </c:pt>
                <c:pt idx="14">
                  <c:v>9</c:v>
                </c:pt>
                <c:pt idx="15">
                  <c:v>7.5</c:v>
                </c:pt>
                <c:pt idx="16">
                  <c:v>6</c:v>
                </c:pt>
                <c:pt idx="17">
                  <c:v>4.5</c:v>
                </c:pt>
                <c:pt idx="18">
                  <c:v>3</c:v>
                </c:pt>
                <c:pt idx="19">
                  <c:v>1.5</c:v>
                </c:pt>
                <c:pt idx="20">
                  <c:v>0</c:v>
                </c:pt>
              </c:numCache>
            </c:numRef>
          </c:yVal>
          <c:smooth val="1"/>
        </c:ser>
        <c:axId val="80904576"/>
        <c:axId val="80906112"/>
      </c:scatterChart>
      <c:valAx>
        <c:axId val="80904576"/>
        <c:scaling>
          <c:orientation val="minMax"/>
        </c:scaling>
        <c:axPos val="b"/>
        <c:numFmt formatCode="0.00" sourceLinked="1"/>
        <c:tickLblPos val="nextTo"/>
        <c:crossAx val="80906112"/>
        <c:crosses val="autoZero"/>
        <c:crossBetween val="midCat"/>
      </c:valAx>
      <c:valAx>
        <c:axId val="80906112"/>
        <c:scaling>
          <c:orientation val="minMax"/>
        </c:scaling>
        <c:axPos val="l"/>
        <c:majorGridlines/>
        <c:numFmt formatCode="0.00" sourceLinked="1"/>
        <c:tickLblPos val="nextTo"/>
        <c:crossAx val="80904576"/>
        <c:crosses val="autoZero"/>
        <c:crossBetween val="midCat"/>
      </c:valAx>
    </c:plotArea>
    <c:legend>
      <c:legendPos val="r"/>
    </c:legend>
    <c:plotVisOnly val="1"/>
  </c:chart>
  <c:printSettings>
    <c:headerFooter/>
    <c:pageMargins b="0.75000000000000444" l="0.70000000000000062" r="0.70000000000000062" t="0.750000000000004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Pressure </a:t>
            </a:r>
          </a:p>
        </c:rich>
      </c:tx>
      <c:layout/>
    </c:title>
    <c:plotArea>
      <c:layout/>
      <c:scatterChart>
        <c:scatterStyle val="smoothMarker"/>
        <c:ser>
          <c:idx val="0"/>
          <c:order val="0"/>
          <c:tx>
            <c:v>Pressure at Back of Wall</c:v>
          </c:tx>
          <c:xVal>
            <c:numRef>
              <c:f>'Strip Load Bous. B&amp;P Vert Ka'!$I$21:$I$41</c:f>
              <c:numCache>
                <c:formatCode>0.00</c:formatCode>
                <c:ptCount val="21"/>
                <c:pt idx="0">
                  <c:v>0</c:v>
                </c:pt>
                <c:pt idx="1">
                  <c:v>3.4137543799080552</c:v>
                </c:pt>
                <c:pt idx="2">
                  <c:v>19.751738153110352</c:v>
                </c:pt>
                <c:pt idx="3">
                  <c:v>44.197397555941748</c:v>
                </c:pt>
                <c:pt idx="4">
                  <c:v>68.417107960401481</c:v>
                </c:pt>
                <c:pt idx="5">
                  <c:v>88.661728291390034</c:v>
                </c:pt>
                <c:pt idx="6">
                  <c:v>104.28289395712928</c:v>
                </c:pt>
                <c:pt idx="7">
                  <c:v>115.75743244472686</c:v>
                </c:pt>
                <c:pt idx="8">
                  <c:v>123.81546047187796</c:v>
                </c:pt>
                <c:pt idx="9">
                  <c:v>129.15441278900516</c:v>
                </c:pt>
                <c:pt idx="10">
                  <c:v>132.36692586349039</c:v>
                </c:pt>
                <c:pt idx="11">
                  <c:v>133.93598937835998</c:v>
                </c:pt>
                <c:pt idx="12">
                  <c:v>134.24824900413356</c:v>
                </c:pt>
                <c:pt idx="13">
                  <c:v>133.61028693341103</c:v>
                </c:pt>
                <c:pt idx="14">
                  <c:v>132.26361501020625</c:v>
                </c:pt>
                <c:pt idx="15">
                  <c:v>130.3974440140108</c:v>
                </c:pt>
                <c:pt idx="16">
                  <c:v>128.15924642443812</c:v>
                </c:pt>
                <c:pt idx="17">
                  <c:v>125.66337056535818</c:v>
                </c:pt>
                <c:pt idx="18">
                  <c:v>122.99800074419717</c:v>
                </c:pt>
                <c:pt idx="19">
                  <c:v>120.23073986876274</c:v>
                </c:pt>
                <c:pt idx="20">
                  <c:v>117.41305944772635</c:v>
                </c:pt>
              </c:numCache>
            </c:numRef>
          </c:xVal>
          <c:yVal>
            <c:numRef>
              <c:f>'Strip Load Bous. B&amp;P Vert Ka'!$G$21:$G$41</c:f>
              <c:numCache>
                <c:formatCode>0.00</c:formatCode>
                <c:ptCount val="21"/>
                <c:pt idx="0">
                  <c:v>20</c:v>
                </c:pt>
                <c:pt idx="1">
                  <c:v>19</c:v>
                </c:pt>
                <c:pt idx="2">
                  <c:v>18</c:v>
                </c:pt>
                <c:pt idx="3">
                  <c:v>17</c:v>
                </c:pt>
                <c:pt idx="4">
                  <c:v>16</c:v>
                </c:pt>
                <c:pt idx="5">
                  <c:v>15</c:v>
                </c:pt>
                <c:pt idx="6">
                  <c:v>14</c:v>
                </c:pt>
                <c:pt idx="7">
                  <c:v>13</c:v>
                </c:pt>
                <c:pt idx="8">
                  <c:v>12</c:v>
                </c:pt>
                <c:pt idx="9">
                  <c:v>11</c:v>
                </c:pt>
                <c:pt idx="10">
                  <c:v>10</c:v>
                </c:pt>
                <c:pt idx="11">
                  <c:v>9</c:v>
                </c:pt>
                <c:pt idx="12">
                  <c:v>8</c:v>
                </c:pt>
                <c:pt idx="13">
                  <c:v>7</c:v>
                </c:pt>
                <c:pt idx="14">
                  <c:v>6</c:v>
                </c:pt>
                <c:pt idx="15">
                  <c:v>5</c:v>
                </c:pt>
                <c:pt idx="16">
                  <c:v>4</c:v>
                </c:pt>
                <c:pt idx="17">
                  <c:v>3</c:v>
                </c:pt>
                <c:pt idx="18">
                  <c:v>2</c:v>
                </c:pt>
                <c:pt idx="19">
                  <c:v>1</c:v>
                </c:pt>
                <c:pt idx="20">
                  <c:v>0</c:v>
                </c:pt>
              </c:numCache>
            </c:numRef>
          </c:yVal>
          <c:smooth val="1"/>
        </c:ser>
        <c:axId val="81340288"/>
        <c:axId val="81341824"/>
      </c:scatterChart>
      <c:valAx>
        <c:axId val="81340288"/>
        <c:scaling>
          <c:orientation val="minMax"/>
        </c:scaling>
        <c:axPos val="b"/>
        <c:numFmt formatCode="0.00" sourceLinked="1"/>
        <c:tickLblPos val="nextTo"/>
        <c:crossAx val="81341824"/>
        <c:crosses val="autoZero"/>
        <c:crossBetween val="midCat"/>
      </c:valAx>
      <c:valAx>
        <c:axId val="81341824"/>
        <c:scaling>
          <c:orientation val="minMax"/>
        </c:scaling>
        <c:axPos val="l"/>
        <c:majorGridlines/>
        <c:numFmt formatCode="0.00" sourceLinked="1"/>
        <c:tickLblPos val="nextTo"/>
        <c:crossAx val="81340288"/>
        <c:crosses val="autoZero"/>
        <c:crossBetween val="midCat"/>
      </c:valAx>
    </c:plotArea>
    <c:legend>
      <c:legendPos val="r"/>
      <c:layout/>
    </c:legend>
    <c:plotVisOnly val="1"/>
  </c:chart>
  <c:printSettings>
    <c:headerFooter/>
    <c:pageMargins b="0.75000000000000422" l="0.70000000000000062" r="0.70000000000000062" t="0.750000000000004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Pressure </a:t>
            </a:r>
          </a:p>
        </c:rich>
      </c:tx>
      <c:layout/>
    </c:title>
    <c:plotArea>
      <c:layout/>
      <c:scatterChart>
        <c:scatterStyle val="smoothMarker"/>
        <c:ser>
          <c:idx val="0"/>
          <c:order val="0"/>
          <c:tx>
            <c:v>Pressure at Back of Wall</c:v>
          </c:tx>
          <c:xVal>
            <c:numRef>
              <c:f>'Strip Mod Ter. (BS w- Vert Ka)'!$I$28:$I$48</c:f>
              <c:numCache>
                <c:formatCode>0.00</c:formatCode>
                <c:ptCount val="21"/>
                <c:pt idx="0">
                  <c:v>0</c:v>
                </c:pt>
                <c:pt idx="1">
                  <c:v>5.2680810439008248E-2</c:v>
                </c:pt>
                <c:pt idx="2">
                  <c:v>0.41790641213410468</c:v>
                </c:pt>
                <c:pt idx="3">
                  <c:v>1.3909061115959742</c:v>
                </c:pt>
                <c:pt idx="4">
                  <c:v>3.2340082937884969</c:v>
                </c:pt>
                <c:pt idx="5">
                  <c:v>6.16423447864958</c:v>
                </c:pt>
                <c:pt idx="6">
                  <c:v>10.345028069228617</c:v>
                </c:pt>
                <c:pt idx="7">
                  <c:v>15.882477122006829</c:v>
                </c:pt>
                <c:pt idx="8">
                  <c:v>22.825815593485515</c:v>
                </c:pt>
                <c:pt idx="9">
                  <c:v>31.171533439263449</c:v>
                </c:pt>
                <c:pt idx="10">
                  <c:v>40.870148685579373</c:v>
                </c:pt>
                <c:pt idx="11">
                  <c:v>51.83460228587186</c:v>
                </c:pt>
                <c:pt idx="12">
                  <c:v>63.949299441837091</c:v>
                </c:pt>
                <c:pt idx="13">
                  <c:v>77.078988569283368</c:v>
                </c:pt>
                <c:pt idx="14">
                  <c:v>91.076886977453967</c:v>
                </c:pt>
                <c:pt idx="15">
                  <c:v>105.79168490273048</c:v>
                </c:pt>
                <c:pt idx="16">
                  <c:v>121.0732555557569</c:v>
                </c:pt>
                <c:pt idx="17">
                  <c:v>136.77705206542669</c:v>
                </c:pt>
                <c:pt idx="18">
                  <c:v>152.76727858910988</c:v>
                </c:pt>
                <c:pt idx="19">
                  <c:v>168.91898647090997</c:v>
                </c:pt>
                <c:pt idx="20">
                  <c:v>185.11927543530567</c:v>
                </c:pt>
              </c:numCache>
            </c:numRef>
          </c:xVal>
          <c:yVal>
            <c:numRef>
              <c:f>'Strip Mod Ter. (BS w- Vert Ka)'!$G$28:$G$48</c:f>
              <c:numCache>
                <c:formatCode>0.00</c:formatCode>
                <c:ptCount val="21"/>
                <c:pt idx="0">
                  <c:v>5.67</c:v>
                </c:pt>
                <c:pt idx="1">
                  <c:v>5.3864999999999998</c:v>
                </c:pt>
                <c:pt idx="2">
                  <c:v>5.1029999999999998</c:v>
                </c:pt>
                <c:pt idx="3">
                  <c:v>4.8194999999999997</c:v>
                </c:pt>
                <c:pt idx="4">
                  <c:v>4.5359999999999996</c:v>
                </c:pt>
                <c:pt idx="5">
                  <c:v>4.2524999999999995</c:v>
                </c:pt>
                <c:pt idx="6">
                  <c:v>3.9690000000000003</c:v>
                </c:pt>
                <c:pt idx="7">
                  <c:v>3.6855000000000002</c:v>
                </c:pt>
                <c:pt idx="8">
                  <c:v>3.4019999999999997</c:v>
                </c:pt>
                <c:pt idx="9">
                  <c:v>3.1185</c:v>
                </c:pt>
                <c:pt idx="10">
                  <c:v>2.835</c:v>
                </c:pt>
                <c:pt idx="11">
                  <c:v>2.5514999999999999</c:v>
                </c:pt>
                <c:pt idx="12">
                  <c:v>2.2680000000000002</c:v>
                </c:pt>
                <c:pt idx="13">
                  <c:v>1.9844999999999997</c:v>
                </c:pt>
                <c:pt idx="14">
                  <c:v>1.7010000000000001</c:v>
                </c:pt>
                <c:pt idx="15">
                  <c:v>1.4175000000000004</c:v>
                </c:pt>
                <c:pt idx="16">
                  <c:v>1.1339999999999995</c:v>
                </c:pt>
                <c:pt idx="17">
                  <c:v>0.85050000000000026</c:v>
                </c:pt>
                <c:pt idx="18">
                  <c:v>0.56700000000000017</c:v>
                </c:pt>
                <c:pt idx="19">
                  <c:v>0.28350000000000009</c:v>
                </c:pt>
                <c:pt idx="20">
                  <c:v>0</c:v>
                </c:pt>
              </c:numCache>
            </c:numRef>
          </c:yVal>
          <c:smooth val="1"/>
        </c:ser>
        <c:axId val="81362304"/>
        <c:axId val="81454208"/>
      </c:scatterChart>
      <c:valAx>
        <c:axId val="81362304"/>
        <c:scaling>
          <c:orientation val="minMax"/>
        </c:scaling>
        <c:axPos val="b"/>
        <c:numFmt formatCode="0.00" sourceLinked="1"/>
        <c:tickLblPos val="nextTo"/>
        <c:crossAx val="81454208"/>
        <c:crosses val="autoZero"/>
        <c:crossBetween val="midCat"/>
      </c:valAx>
      <c:valAx>
        <c:axId val="81454208"/>
        <c:scaling>
          <c:orientation val="minMax"/>
        </c:scaling>
        <c:axPos val="l"/>
        <c:majorGridlines/>
        <c:numFmt formatCode="0.00" sourceLinked="1"/>
        <c:tickLblPos val="nextTo"/>
        <c:crossAx val="81362304"/>
        <c:crosses val="autoZero"/>
        <c:crossBetween val="midCat"/>
      </c:valAx>
    </c:plotArea>
    <c:legend>
      <c:legendPos val="r"/>
      <c:layout/>
    </c:legend>
    <c:plotVisOnly val="1"/>
  </c:chart>
  <c:printSettings>
    <c:headerFooter/>
    <c:pageMargins b="0.75000000000000444" l="0.70000000000000062" r="0.70000000000000062" t="0.750000000000004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Pressure at Back of Wall a&gt;0.4</a:t>
            </a:r>
          </a:p>
        </c:rich>
      </c:tx>
      <c:layout/>
    </c:title>
    <c:plotArea>
      <c:layout/>
      <c:scatterChart>
        <c:scatterStyle val="smoothMarker"/>
        <c:ser>
          <c:idx val="0"/>
          <c:order val="0"/>
          <c:tx>
            <c:v>Pressure at Back of Wall</c:v>
          </c:tx>
          <c:xVal>
            <c:numRef>
              <c:f>'Line Load Mod Terazghi'!$M$18:$M$28</c:f>
              <c:numCache>
                <c:formatCode>0.00</c:formatCode>
                <c:ptCount val="11"/>
                <c:pt idx="0">
                  <c:v>0</c:v>
                </c:pt>
                <c:pt idx="1">
                  <c:v>850.50203464118306</c:v>
                </c:pt>
                <c:pt idx="2">
                  <c:v>906.4650685205728</c:v>
                </c:pt>
                <c:pt idx="3">
                  <c:v>646.70516184583096</c:v>
                </c:pt>
                <c:pt idx="4">
                  <c:v>419.03895549212859</c:v>
                </c:pt>
                <c:pt idx="5">
                  <c:v>271.32848879939559</c:v>
                </c:pt>
                <c:pt idx="6">
                  <c:v>180.63790025253203</c:v>
                </c:pt>
                <c:pt idx="7">
                  <c:v>124.40457758345283</c:v>
                </c:pt>
                <c:pt idx="8">
                  <c:v>88.521979347712147</c:v>
                </c:pt>
                <c:pt idx="9">
                  <c:v>64.866014072417656</c:v>
                </c:pt>
                <c:pt idx="10">
                  <c:v>48.771600680545959</c:v>
                </c:pt>
              </c:numCache>
            </c:numRef>
          </c:xVal>
          <c:yVal>
            <c:numRef>
              <c:f>'Line Load Mod Terazghi'!$L$18:$L$28</c:f>
              <c:numCache>
                <c:formatCode>0.00</c:formatCode>
                <c:ptCount val="11"/>
                <c:pt idx="0">
                  <c:v>7.5</c:v>
                </c:pt>
                <c:pt idx="1">
                  <c:v>6.75</c:v>
                </c:pt>
                <c:pt idx="2">
                  <c:v>6</c:v>
                </c:pt>
                <c:pt idx="3">
                  <c:v>5.25</c:v>
                </c:pt>
                <c:pt idx="4">
                  <c:v>4.5</c:v>
                </c:pt>
                <c:pt idx="5">
                  <c:v>3.75</c:v>
                </c:pt>
                <c:pt idx="6">
                  <c:v>3</c:v>
                </c:pt>
                <c:pt idx="7">
                  <c:v>2.25</c:v>
                </c:pt>
                <c:pt idx="8">
                  <c:v>1.5</c:v>
                </c:pt>
                <c:pt idx="9">
                  <c:v>0.75</c:v>
                </c:pt>
                <c:pt idx="10">
                  <c:v>0</c:v>
                </c:pt>
              </c:numCache>
            </c:numRef>
          </c:yVal>
          <c:smooth val="1"/>
        </c:ser>
        <c:axId val="80699776"/>
        <c:axId val="80701312"/>
      </c:scatterChart>
      <c:valAx>
        <c:axId val="80699776"/>
        <c:scaling>
          <c:orientation val="minMax"/>
        </c:scaling>
        <c:axPos val="b"/>
        <c:numFmt formatCode="0.00" sourceLinked="1"/>
        <c:tickLblPos val="nextTo"/>
        <c:crossAx val="80701312"/>
        <c:crosses val="autoZero"/>
        <c:crossBetween val="midCat"/>
      </c:valAx>
      <c:valAx>
        <c:axId val="80701312"/>
        <c:scaling>
          <c:orientation val="minMax"/>
        </c:scaling>
        <c:axPos val="l"/>
        <c:majorGridlines/>
        <c:numFmt formatCode="0.00" sourceLinked="1"/>
        <c:tickLblPos val="nextTo"/>
        <c:crossAx val="80699776"/>
        <c:crosses val="autoZero"/>
        <c:crossBetween val="midCat"/>
      </c:valAx>
    </c:plotArea>
    <c:legend>
      <c:legendPos val="r"/>
      <c:layout/>
    </c:legend>
    <c:plotVisOnly val="1"/>
  </c:chart>
  <c:printSettings>
    <c:headerFooter/>
    <c:pageMargins b="0.75000000000000333" l="0.70000000000000062" r="0.70000000000000062" t="0.750000000000003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Pressure at Back of Wall a&lt;=0.4</a:t>
            </a:r>
          </a:p>
        </c:rich>
      </c:tx>
      <c:layout/>
    </c:title>
    <c:plotArea>
      <c:layout/>
      <c:scatterChart>
        <c:scatterStyle val="smoothMarker"/>
        <c:ser>
          <c:idx val="0"/>
          <c:order val="0"/>
          <c:tx>
            <c:v>Pressure at Back of Wall</c:v>
          </c:tx>
          <c:xVal>
            <c:numRef>
              <c:f>'Line Load Mod Terazghi'!$D$18:$D$28</c:f>
              <c:numCache>
                <c:formatCode>0.00</c:formatCode>
                <c:ptCount val="11"/>
                <c:pt idx="0">
                  <c:v>0</c:v>
                </c:pt>
                <c:pt idx="1">
                  <c:v>434.09688581314873</c:v>
                </c:pt>
                <c:pt idx="2">
                  <c:v>627.27</c:v>
                </c:pt>
                <c:pt idx="3">
                  <c:v>602.17920000000004</c:v>
                </c:pt>
                <c:pt idx="4">
                  <c:v>490.05468749999977</c:v>
                </c:pt>
                <c:pt idx="5">
                  <c:v>373.15288518738845</c:v>
                </c:pt>
                <c:pt idx="6">
                  <c:v>278.37426035502961</c:v>
                </c:pt>
                <c:pt idx="7">
                  <c:v>207.85278106508881</c:v>
                </c:pt>
                <c:pt idx="8">
                  <c:v>156.81749999999994</c:v>
                </c:pt>
                <c:pt idx="9">
                  <c:v>120.00063768732065</c:v>
                </c:pt>
                <c:pt idx="10">
                  <c:v>93.232758620689665</c:v>
                </c:pt>
              </c:numCache>
            </c:numRef>
          </c:xVal>
          <c:yVal>
            <c:numRef>
              <c:f>'Line Load Mod Terazghi'!$F$18:$F$28</c:f>
              <c:numCache>
                <c:formatCode>0.00</c:formatCode>
                <c:ptCount val="11"/>
                <c:pt idx="0">
                  <c:v>7.5</c:v>
                </c:pt>
                <c:pt idx="1">
                  <c:v>7</c:v>
                </c:pt>
                <c:pt idx="2">
                  <c:v>6.3522494887525562</c:v>
                </c:pt>
                <c:pt idx="3">
                  <c:v>5.6275510204081636</c:v>
                </c:pt>
                <c:pt idx="4">
                  <c:v>4.8878320172290026</c:v>
                </c:pt>
                <c:pt idx="5">
                  <c:v>4.1419284025667</c:v>
                </c:pt>
                <c:pt idx="6">
                  <c:v>3.3931839362873846</c:v>
                </c:pt>
                <c:pt idx="7">
                  <c:v>2.6431297709923665</c:v>
                </c:pt>
                <c:pt idx="8">
                  <c:v>1.8924936386768447</c:v>
                </c:pt>
                <c:pt idx="9">
                  <c:v>1.1416250225781202</c:v>
                </c:pt>
                <c:pt idx="10">
                  <c:v>0.39069165497179287</c:v>
                </c:pt>
              </c:numCache>
            </c:numRef>
          </c:yVal>
          <c:smooth val="1"/>
        </c:ser>
        <c:axId val="80733696"/>
        <c:axId val="80735232"/>
      </c:scatterChart>
      <c:valAx>
        <c:axId val="80733696"/>
        <c:scaling>
          <c:orientation val="minMax"/>
        </c:scaling>
        <c:axPos val="b"/>
        <c:numFmt formatCode="0.00" sourceLinked="1"/>
        <c:tickLblPos val="nextTo"/>
        <c:crossAx val="80735232"/>
        <c:crosses val="autoZero"/>
        <c:crossBetween val="midCat"/>
      </c:valAx>
      <c:valAx>
        <c:axId val="80735232"/>
        <c:scaling>
          <c:orientation val="minMax"/>
        </c:scaling>
        <c:axPos val="l"/>
        <c:majorGridlines/>
        <c:numFmt formatCode="0.00" sourceLinked="1"/>
        <c:tickLblPos val="nextTo"/>
        <c:crossAx val="80733696"/>
        <c:crosses val="autoZero"/>
        <c:crossBetween val="midCat"/>
      </c:valAx>
    </c:plotArea>
    <c:legend>
      <c:legendPos val="r"/>
      <c:layout/>
    </c:legend>
    <c:plotVisOnly val="1"/>
  </c:chart>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1094309</xdr:colOff>
      <xdr:row>37</xdr:row>
      <xdr:rowOff>61232</xdr:rowOff>
    </xdr:from>
    <xdr:to>
      <xdr:col>6</xdr:col>
      <xdr:colOff>317500</xdr:colOff>
      <xdr:row>60</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107392</xdr:colOff>
      <xdr:row>1</xdr:row>
      <xdr:rowOff>40420</xdr:rowOff>
    </xdr:from>
    <xdr:to>
      <xdr:col>23</xdr:col>
      <xdr:colOff>68036</xdr:colOff>
      <xdr:row>15</xdr:row>
      <xdr:rowOff>24546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222996</xdr:colOff>
      <xdr:row>7</xdr:row>
      <xdr:rowOff>136712</xdr:rowOff>
    </xdr:from>
    <xdr:to>
      <xdr:col>13</xdr:col>
      <xdr:colOff>81801</xdr:colOff>
      <xdr:row>15</xdr:row>
      <xdr:rowOff>31937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222996</xdr:colOff>
      <xdr:row>10</xdr:row>
      <xdr:rowOff>136712</xdr:rowOff>
    </xdr:from>
    <xdr:to>
      <xdr:col>13</xdr:col>
      <xdr:colOff>81801</xdr:colOff>
      <xdr:row>23</xdr:row>
      <xdr:rowOff>31937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222996</xdr:colOff>
      <xdr:row>10</xdr:row>
      <xdr:rowOff>136712</xdr:rowOff>
    </xdr:from>
    <xdr:to>
      <xdr:col>14</xdr:col>
      <xdr:colOff>81801</xdr:colOff>
      <xdr:row>23</xdr:row>
      <xdr:rowOff>31937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66114</xdr:colOff>
      <xdr:row>1</xdr:row>
      <xdr:rowOff>159122</xdr:rowOff>
    </xdr:from>
    <xdr:to>
      <xdr:col>12</xdr:col>
      <xdr:colOff>698125</xdr:colOff>
      <xdr:row>11</xdr:row>
      <xdr:rowOff>235323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222996</xdr:colOff>
      <xdr:row>11</xdr:row>
      <xdr:rowOff>136712</xdr:rowOff>
    </xdr:from>
    <xdr:to>
      <xdr:col>13</xdr:col>
      <xdr:colOff>81801</xdr:colOff>
      <xdr:row>23</xdr:row>
      <xdr:rowOff>78441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819151</xdr:colOff>
      <xdr:row>29</xdr:row>
      <xdr:rowOff>142875</xdr:rowOff>
    </xdr:from>
    <xdr:to>
      <xdr:col>14</xdr:col>
      <xdr:colOff>285750</xdr:colOff>
      <xdr:row>44</xdr:row>
      <xdr:rowOff>179294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1186541</xdr:colOff>
      <xdr:row>29</xdr:row>
      <xdr:rowOff>184603</xdr:rowOff>
    </xdr:from>
    <xdr:to>
      <xdr:col>6</xdr:col>
      <xdr:colOff>190500</xdr:colOff>
      <xdr:row>43</xdr:row>
      <xdr:rowOff>145676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428625</xdr:colOff>
      <xdr:row>26</xdr:row>
      <xdr:rowOff>0</xdr:rowOff>
    </xdr:from>
    <xdr:to>
      <xdr:col>7</xdr:col>
      <xdr:colOff>76200</xdr:colOff>
      <xdr:row>40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581025</xdr:colOff>
      <xdr:row>26</xdr:row>
      <xdr:rowOff>123825</xdr:rowOff>
    </xdr:from>
    <xdr:to>
      <xdr:col>16</xdr:col>
      <xdr:colOff>276225</xdr:colOff>
      <xdr:row>41</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2:FX161"/>
  <sheetViews>
    <sheetView zoomScale="70" zoomScaleNormal="70" zoomScaleSheetLayoutView="85" zoomScalePageLayoutView="70" workbookViewId="0">
      <selection activeCell="B9" sqref="B9"/>
    </sheetView>
  </sheetViews>
  <sheetFormatPr defaultRowHeight="15"/>
  <cols>
    <col min="1" max="1" width="30.5703125" style="1" customWidth="1"/>
    <col min="2" max="3" width="10.140625" style="1" customWidth="1"/>
    <col min="4" max="4" width="17.140625" style="1" customWidth="1"/>
    <col min="5" max="5" width="9.7109375" style="10" customWidth="1"/>
    <col min="6" max="6" width="7.5703125" style="10" customWidth="1"/>
    <col min="7" max="7" width="16.5703125" style="2" customWidth="1"/>
    <col min="8" max="8" width="8.7109375" style="2" customWidth="1"/>
    <col min="9" max="9" width="8.28515625" style="2" customWidth="1"/>
    <col min="10" max="10" width="8.42578125" style="2" customWidth="1"/>
    <col min="11" max="11" width="15.28515625" style="2" customWidth="1"/>
    <col min="12" max="12" width="14.140625" style="2" bestFit="1" customWidth="1"/>
    <col min="13" max="13" width="7.85546875" style="2" customWidth="1"/>
    <col min="14" max="14" width="11.28515625" style="2" customWidth="1"/>
    <col min="15" max="15" width="19.140625" style="2" customWidth="1"/>
    <col min="16" max="16" width="12.42578125" style="2" customWidth="1"/>
    <col min="17" max="17" width="9.7109375" style="2" customWidth="1"/>
    <col min="18" max="18" width="14" style="2" bestFit="1" customWidth="1"/>
    <col min="19" max="19" width="13.42578125" style="2" bestFit="1" customWidth="1"/>
    <col min="20" max="22" width="14" style="2" bestFit="1" customWidth="1"/>
    <col min="23" max="23" width="5.5703125" style="2" bestFit="1" customWidth="1"/>
    <col min="24" max="24" width="5.7109375" style="2" bestFit="1" customWidth="1"/>
    <col min="25" max="25" width="19.85546875" style="2" customWidth="1"/>
    <col min="26" max="26" width="11.28515625" style="2" customWidth="1"/>
    <col min="27" max="27" width="6.7109375" style="2" customWidth="1"/>
    <col min="28" max="28" width="10.28515625" style="2" customWidth="1"/>
    <col min="29" max="29" width="13.5703125" style="2" customWidth="1"/>
    <col min="30" max="30" width="5.28515625" style="2" customWidth="1"/>
    <col min="31" max="35" width="5.28515625" style="2" bestFit="1" customWidth="1"/>
    <col min="36" max="37" width="5.5703125" style="2" bestFit="1" customWidth="1"/>
    <col min="38" max="38" width="11.85546875" style="2" customWidth="1"/>
    <col min="39" max="39" width="9.42578125" style="2" customWidth="1"/>
    <col min="40" max="40" width="5.5703125" style="2" customWidth="1"/>
    <col min="41" max="41" width="8.42578125" style="2" bestFit="1" customWidth="1"/>
    <col min="42" max="46" width="5.5703125" style="2" bestFit="1" customWidth="1"/>
    <col min="47" max="47" width="9.140625" style="2" customWidth="1"/>
    <col min="48" max="177" width="9.140625" style="2"/>
  </cols>
  <sheetData>
    <row r="2" spans="1:180" ht="60" customHeight="1">
      <c r="A2" s="46" t="s">
        <v>148</v>
      </c>
      <c r="B2" s="47"/>
      <c r="C2" s="47"/>
      <c r="D2" s="47"/>
      <c r="E2" s="29"/>
      <c r="G2" s="157" t="s">
        <v>208</v>
      </c>
      <c r="H2" s="157"/>
      <c r="I2" s="157"/>
      <c r="J2" s="157"/>
    </row>
    <row r="3" spans="1:180" ht="30" customHeight="1">
      <c r="A3" s="35"/>
      <c r="B3" s="38"/>
      <c r="C3" s="38"/>
      <c r="D3" s="38"/>
      <c r="E3" s="48"/>
      <c r="G3" s="157" t="s">
        <v>207</v>
      </c>
      <c r="H3" s="157"/>
      <c r="I3" s="157"/>
      <c r="J3" s="157"/>
      <c r="FV3" s="2"/>
    </row>
    <row r="4" spans="1:180" ht="30">
      <c r="A4" s="33" t="s">
        <v>139</v>
      </c>
      <c r="B4" s="49" t="s">
        <v>308</v>
      </c>
      <c r="C4" s="38"/>
      <c r="D4" s="38"/>
      <c r="E4" s="48"/>
      <c r="F4" s="1"/>
      <c r="FV4" s="2"/>
      <c r="FW4" s="2"/>
    </row>
    <row r="5" spans="1:180">
      <c r="A5" s="33" t="s">
        <v>0</v>
      </c>
      <c r="B5" s="49">
        <f>27800/2</f>
        <v>13900</v>
      </c>
      <c r="C5" s="49" t="s">
        <v>1</v>
      </c>
      <c r="D5" s="49"/>
      <c r="E5" s="50"/>
      <c r="F5" s="1"/>
      <c r="G5" s="55" t="s">
        <v>285</v>
      </c>
      <c r="H5" s="25"/>
      <c r="I5" s="20"/>
      <c r="FV5" s="2"/>
      <c r="FW5" s="2"/>
      <c r="FX5" s="2"/>
    </row>
    <row r="6" spans="1:180">
      <c r="A6" s="33" t="s">
        <v>7</v>
      </c>
      <c r="B6" s="49">
        <v>7.5</v>
      </c>
      <c r="C6" s="49" t="s">
        <v>2</v>
      </c>
      <c r="D6" s="49"/>
      <c r="E6" s="50"/>
      <c r="F6" s="1"/>
      <c r="G6" s="55" t="s">
        <v>281</v>
      </c>
      <c r="H6" s="25">
        <f>E35</f>
        <v>782.18605754277348</v>
      </c>
      <c r="I6" s="154" t="s">
        <v>144</v>
      </c>
      <c r="FV6" s="2"/>
      <c r="FW6" s="2"/>
      <c r="FX6" s="2"/>
    </row>
    <row r="7" spans="1:180" ht="29.25" customHeight="1">
      <c r="A7" s="33" t="s">
        <v>8</v>
      </c>
      <c r="B7" s="49">
        <v>2</v>
      </c>
      <c r="C7" s="49" t="s">
        <v>2</v>
      </c>
      <c r="D7" s="34" t="s">
        <v>140</v>
      </c>
      <c r="E7" s="48">
        <f>IF(OR(B4="Point",B4="Line"),B7-0.5,B7)</f>
        <v>1.5</v>
      </c>
      <c r="G7" s="22" t="s">
        <v>286</v>
      </c>
      <c r="H7" s="23">
        <f>H35</f>
        <v>5.6884390666674038</v>
      </c>
      <c r="I7" s="153" t="s">
        <v>2</v>
      </c>
      <c r="FV7" s="2"/>
      <c r="FW7" s="2"/>
      <c r="FX7" s="2"/>
    </row>
    <row r="8" spans="1:180" ht="33.75" customHeight="1">
      <c r="A8" s="33" t="s">
        <v>9</v>
      </c>
      <c r="B8" s="49">
        <v>1</v>
      </c>
      <c r="C8" s="49" t="s">
        <v>2</v>
      </c>
      <c r="D8" s="38" t="s">
        <v>146</v>
      </c>
      <c r="E8" s="48">
        <f>B7+B8</f>
        <v>3</v>
      </c>
      <c r="F8" s="1"/>
      <c r="I8" s="56"/>
      <c r="FV8" s="2"/>
      <c r="FW8" s="2"/>
      <c r="FX8" s="2"/>
    </row>
    <row r="9" spans="1:180">
      <c r="A9" s="33" t="s">
        <v>10</v>
      </c>
      <c r="B9" s="49">
        <v>1</v>
      </c>
      <c r="C9" s="49" t="s">
        <v>2</v>
      </c>
      <c r="D9" s="49"/>
      <c r="E9" s="50"/>
      <c r="F9" s="1"/>
      <c r="I9" s="56"/>
      <c r="FV9" s="2"/>
      <c r="FW9" s="2"/>
      <c r="FX9" s="2"/>
    </row>
    <row r="10" spans="1:180" ht="30">
      <c r="A10" s="33" t="s">
        <v>142</v>
      </c>
      <c r="B10" s="49">
        <v>0.33</v>
      </c>
      <c r="C10" s="49" t="s">
        <v>147</v>
      </c>
      <c r="D10" s="34" t="s">
        <v>138</v>
      </c>
      <c r="E10" s="51">
        <f>B10/(1-B10)</f>
        <v>0.49253731343283591</v>
      </c>
      <c r="F10" s="1"/>
      <c r="I10" s="56"/>
      <c r="FV10" s="2"/>
      <c r="FW10" s="2"/>
      <c r="FX10" s="2"/>
    </row>
    <row r="11" spans="1:180" ht="30">
      <c r="A11" s="52" t="s">
        <v>141</v>
      </c>
      <c r="B11" s="34">
        <f>IF(OR(B4="Point",B4="Area"),B10,E10)</f>
        <v>0.33</v>
      </c>
      <c r="C11" s="38"/>
      <c r="D11" s="34"/>
      <c r="E11" s="51"/>
      <c r="F11" s="3"/>
      <c r="I11" s="56"/>
      <c r="FV11" s="2"/>
      <c r="FW11" s="2"/>
      <c r="FX11" s="2"/>
    </row>
    <row r="12" spans="1:180">
      <c r="A12" s="35"/>
      <c r="B12" s="49"/>
      <c r="C12" s="28"/>
      <c r="D12" s="28"/>
      <c r="E12" s="30"/>
      <c r="F12" s="3"/>
      <c r="I12" s="56"/>
      <c r="FV12" s="2"/>
      <c r="FW12" s="2"/>
      <c r="FX12" s="2"/>
    </row>
    <row r="13" spans="1:180" ht="30">
      <c r="A13" s="35" t="s">
        <v>11</v>
      </c>
      <c r="B13" s="49">
        <v>10</v>
      </c>
      <c r="C13" s="34" t="s">
        <v>136</v>
      </c>
      <c r="D13" s="34"/>
      <c r="E13" s="51"/>
      <c r="F13" s="3"/>
      <c r="I13" s="56"/>
      <c r="FV13" s="2"/>
      <c r="FW13" s="2"/>
      <c r="FX13" s="2"/>
    </row>
    <row r="14" spans="1:180" ht="30">
      <c r="A14" s="35" t="s">
        <v>12</v>
      </c>
      <c r="B14" s="49">
        <v>10</v>
      </c>
      <c r="C14" s="34" t="s">
        <v>136</v>
      </c>
      <c r="D14" s="34"/>
      <c r="E14" s="51"/>
      <c r="F14" s="1"/>
      <c r="I14" s="56"/>
      <c r="FV14" s="2"/>
      <c r="FW14" s="2"/>
      <c r="FX14" s="2"/>
    </row>
    <row r="15" spans="1:180" ht="30">
      <c r="A15" s="35" t="s">
        <v>13</v>
      </c>
      <c r="B15" s="49">
        <v>10</v>
      </c>
      <c r="C15" s="38" t="s">
        <v>136</v>
      </c>
      <c r="D15" s="38"/>
      <c r="E15" s="48"/>
      <c r="F15" s="1"/>
      <c r="I15" s="56"/>
      <c r="FV15" s="2"/>
      <c r="FW15" s="2"/>
      <c r="FX15" s="2"/>
    </row>
    <row r="16" spans="1:180">
      <c r="A16" s="35"/>
      <c r="B16" s="38"/>
      <c r="C16" s="38"/>
      <c r="D16" s="38"/>
      <c r="E16" s="48"/>
      <c r="F16" s="1"/>
      <c r="I16" s="56"/>
      <c r="FV16" s="2"/>
      <c r="FW16" s="2"/>
      <c r="FX16" s="2"/>
    </row>
    <row r="17" spans="1:180">
      <c r="A17" s="35" t="s">
        <v>14</v>
      </c>
      <c r="B17" s="38">
        <f>B8/B13</f>
        <v>0.1</v>
      </c>
      <c r="C17" s="38" t="s">
        <v>2</v>
      </c>
      <c r="D17" s="38"/>
      <c r="E17" s="48"/>
      <c r="F17" s="1"/>
      <c r="FV17" s="2"/>
      <c r="FW17" s="2"/>
      <c r="FX17" s="2"/>
    </row>
    <row r="18" spans="1:180">
      <c r="A18" s="35" t="s">
        <v>15</v>
      </c>
      <c r="B18" s="38">
        <f>B9/B13</f>
        <v>0.1</v>
      </c>
      <c r="C18" s="38" t="s">
        <v>2</v>
      </c>
      <c r="D18" s="38"/>
      <c r="E18" s="48"/>
      <c r="F18" s="1"/>
      <c r="G18" s="10"/>
      <c r="H18" s="10"/>
      <c r="FV18" s="2"/>
      <c r="FW18" s="2"/>
    </row>
    <row r="19" spans="1:180">
      <c r="A19" s="35" t="s">
        <v>16</v>
      </c>
      <c r="B19" s="38">
        <f>B6/B14</f>
        <v>0.75</v>
      </c>
      <c r="C19" s="38" t="s">
        <v>2</v>
      </c>
      <c r="D19" s="38"/>
      <c r="E19" s="48"/>
      <c r="F19" s="1"/>
      <c r="G19" s="10"/>
      <c r="H19" s="10"/>
      <c r="FV19" s="2"/>
      <c r="FW19" s="2"/>
    </row>
    <row r="20" spans="1:180">
      <c r="A20" s="35" t="s">
        <v>6</v>
      </c>
      <c r="B20" s="38">
        <f>B5*B17*B18</f>
        <v>139</v>
      </c>
      <c r="C20" s="38" t="s">
        <v>3</v>
      </c>
      <c r="D20" s="38"/>
      <c r="E20" s="30"/>
      <c r="G20" s="10"/>
      <c r="H20" s="10"/>
      <c r="FV20" s="2"/>
      <c r="FW20" s="2"/>
    </row>
    <row r="21" spans="1:180">
      <c r="A21" s="111"/>
      <c r="B21" s="71"/>
      <c r="C21" s="71"/>
      <c r="D21" s="71"/>
      <c r="E21" s="112"/>
      <c r="G21" s="10"/>
      <c r="H21" s="10"/>
      <c r="FV21" s="2"/>
      <c r="FW21" s="2"/>
    </row>
    <row r="22" spans="1:180">
      <c r="A22" s="158" t="s">
        <v>209</v>
      </c>
      <c r="B22" s="159"/>
      <c r="C22" s="160"/>
      <c r="D22" s="54"/>
      <c r="E22" s="40"/>
      <c r="G22" s="10"/>
      <c r="H22" s="10"/>
      <c r="K22" s="2" t="s">
        <v>211</v>
      </c>
      <c r="X22" s="2" t="s">
        <v>210</v>
      </c>
      <c r="AL22" s="2" t="s">
        <v>212</v>
      </c>
      <c r="FV22" s="2"/>
      <c r="FW22" s="2"/>
    </row>
    <row r="23" spans="1:180" ht="45">
      <c r="A23" s="19" t="s">
        <v>127</v>
      </c>
      <c r="B23" s="11" t="s">
        <v>128</v>
      </c>
      <c r="C23" s="11" t="s">
        <v>137</v>
      </c>
      <c r="D23" s="11" t="s">
        <v>4</v>
      </c>
      <c r="E23" s="11" t="s">
        <v>132</v>
      </c>
      <c r="F23" s="11" t="s">
        <v>130</v>
      </c>
      <c r="G23" s="11" t="s">
        <v>131</v>
      </c>
      <c r="H23" s="11" t="s">
        <v>133</v>
      </c>
      <c r="I23" s="20"/>
      <c r="K23" s="4" t="s">
        <v>18</v>
      </c>
      <c r="L23" s="5" t="s">
        <v>17</v>
      </c>
      <c r="M23" s="5">
        <v>1</v>
      </c>
      <c r="N23" s="5">
        <v>2</v>
      </c>
      <c r="O23" s="11">
        <v>3</v>
      </c>
      <c r="P23" s="11">
        <v>4</v>
      </c>
      <c r="Q23" s="11">
        <v>5</v>
      </c>
      <c r="R23" s="11">
        <v>6</v>
      </c>
      <c r="S23" s="11">
        <v>7</v>
      </c>
      <c r="T23" s="11">
        <v>8</v>
      </c>
      <c r="U23" s="11">
        <v>9</v>
      </c>
      <c r="V23" s="12">
        <v>10</v>
      </c>
      <c r="W23" s="10"/>
      <c r="X23" s="19"/>
      <c r="Y23" s="41" t="s">
        <v>145</v>
      </c>
      <c r="Z23" s="25" t="s">
        <v>20</v>
      </c>
      <c r="AA23" s="25" t="s">
        <v>25</v>
      </c>
      <c r="AB23" s="25" t="s">
        <v>26</v>
      </c>
      <c r="AC23" s="25" t="s">
        <v>27</v>
      </c>
      <c r="AD23" s="25" t="s">
        <v>28</v>
      </c>
      <c r="AE23" s="25" t="s">
        <v>29</v>
      </c>
      <c r="AF23" s="25" t="s">
        <v>30</v>
      </c>
      <c r="AG23" s="25" t="s">
        <v>31</v>
      </c>
      <c r="AH23" s="25" t="s">
        <v>32</v>
      </c>
      <c r="AI23" s="25" t="s">
        <v>33</v>
      </c>
      <c r="AJ23" s="20" t="s">
        <v>34</v>
      </c>
      <c r="AL23" s="45" t="s">
        <v>4</v>
      </c>
      <c r="AM23" s="25" t="s">
        <v>23</v>
      </c>
      <c r="AN23" s="25" t="s">
        <v>25</v>
      </c>
      <c r="AO23" s="25" t="s">
        <v>26</v>
      </c>
      <c r="AP23" s="25" t="s">
        <v>27</v>
      </c>
      <c r="AQ23" s="25" t="s">
        <v>28</v>
      </c>
      <c r="AR23" s="25" t="s">
        <v>29</v>
      </c>
      <c r="AS23" s="25" t="s">
        <v>30</v>
      </c>
      <c r="AT23" s="25" t="s">
        <v>31</v>
      </c>
      <c r="AU23" s="25" t="s">
        <v>32</v>
      </c>
      <c r="AV23" s="25" t="s">
        <v>33</v>
      </c>
      <c r="AW23" s="20" t="s">
        <v>34</v>
      </c>
      <c r="FV23" s="2"/>
      <c r="FW23" s="2"/>
    </row>
    <row r="24" spans="1:180">
      <c r="A24" s="19">
        <v>0</v>
      </c>
      <c r="B24" s="11">
        <v>0</v>
      </c>
      <c r="C24" s="11">
        <f>$B$6-B24</f>
        <v>7.5</v>
      </c>
      <c r="D24" s="11">
        <v>0</v>
      </c>
      <c r="E24" s="11">
        <v>0</v>
      </c>
      <c r="F24" s="25">
        <v>0</v>
      </c>
      <c r="G24" s="25">
        <v>0</v>
      </c>
      <c r="H24" s="25"/>
      <c r="I24" s="20"/>
      <c r="K24" s="6"/>
      <c r="L24" s="7" t="s">
        <v>125</v>
      </c>
      <c r="M24" s="7">
        <f t="shared" ref="M24:V24" si="0">$E$7+($B$17/2+$B$17*(M23-1))</f>
        <v>1.55</v>
      </c>
      <c r="N24" s="7">
        <f t="shared" si="0"/>
        <v>1.65</v>
      </c>
      <c r="O24" s="7">
        <f t="shared" si="0"/>
        <v>1.75</v>
      </c>
      <c r="P24" s="7">
        <f t="shared" si="0"/>
        <v>1.85</v>
      </c>
      <c r="Q24" s="7">
        <f t="shared" si="0"/>
        <v>1.95</v>
      </c>
      <c r="R24" s="7">
        <f t="shared" si="0"/>
        <v>2.0499999999999998</v>
      </c>
      <c r="S24" s="7">
        <f t="shared" si="0"/>
        <v>2.1500000000000004</v>
      </c>
      <c r="T24" s="7">
        <f t="shared" si="0"/>
        <v>2.25</v>
      </c>
      <c r="U24" s="7">
        <f t="shared" si="0"/>
        <v>2.35</v>
      </c>
      <c r="V24" s="7">
        <f t="shared" si="0"/>
        <v>2.4500000000000002</v>
      </c>
      <c r="W24" s="10"/>
      <c r="X24" s="21"/>
      <c r="Y24" s="42" t="s">
        <v>21</v>
      </c>
      <c r="Z24" s="15" t="s">
        <v>22</v>
      </c>
      <c r="AA24" s="15"/>
      <c r="AB24" s="15"/>
      <c r="AC24" s="15"/>
      <c r="AD24" s="15"/>
      <c r="AE24" s="15"/>
      <c r="AF24" s="15"/>
      <c r="AG24" s="15"/>
      <c r="AH24" s="15"/>
      <c r="AI24" s="15"/>
      <c r="AJ24" s="16"/>
      <c r="AL24" s="43" t="s">
        <v>24</v>
      </c>
      <c r="AM24" s="15" t="s">
        <v>22</v>
      </c>
      <c r="AN24" s="15"/>
      <c r="AO24" s="15"/>
      <c r="AP24" s="15"/>
      <c r="AQ24" s="15"/>
      <c r="AR24" s="15"/>
      <c r="AS24" s="15"/>
      <c r="AT24" s="15"/>
      <c r="AU24" s="15"/>
      <c r="AV24" s="15"/>
      <c r="AW24" s="16"/>
      <c r="FV24" s="2"/>
      <c r="FW24" s="2"/>
    </row>
    <row r="25" spans="1:180">
      <c r="A25" s="21">
        <v>1</v>
      </c>
      <c r="B25" s="15">
        <f t="shared" ref="B25:B34" si="1">A25*$B$19</f>
        <v>0.75</v>
      </c>
      <c r="C25" s="15">
        <f t="shared" ref="C25:C34" si="2">$B$6-B25</f>
        <v>6.75</v>
      </c>
      <c r="D25" s="15">
        <f>AY25</f>
        <v>340.24845437829725</v>
      </c>
      <c r="E25" s="15">
        <f t="shared" ref="E25:E34" si="3">(D25+D24)/2*(B25-B24)</f>
        <v>127.59317039186146</v>
      </c>
      <c r="F25" s="15">
        <f t="shared" ref="F25:F34" si="4">($B$6-B25)+$B$19*(2*E24+E25)/(3*(E24+E25))</f>
        <v>7</v>
      </c>
      <c r="G25" s="15">
        <f>E25*F25</f>
        <v>893.15219274303024</v>
      </c>
      <c r="H25" s="15"/>
      <c r="I25" s="16"/>
      <c r="K25" s="6" t="s">
        <v>19</v>
      </c>
      <c r="L25" s="7" t="s">
        <v>126</v>
      </c>
      <c r="M25" s="7"/>
      <c r="N25" s="7"/>
      <c r="O25" s="13"/>
      <c r="P25" s="13"/>
      <c r="Q25" s="15"/>
      <c r="R25" s="15"/>
      <c r="S25" s="15"/>
      <c r="T25" s="15"/>
      <c r="U25" s="15"/>
      <c r="V25" s="16"/>
      <c r="X25" s="43"/>
      <c r="Y25" s="15">
        <v>0</v>
      </c>
      <c r="Z25" s="15">
        <v>0</v>
      </c>
      <c r="AA25" s="15"/>
      <c r="AB25" s="15"/>
      <c r="AC25" s="15"/>
      <c r="AD25" s="15"/>
      <c r="AE25" s="15"/>
      <c r="AF25" s="15"/>
      <c r="AG25" s="15"/>
      <c r="AH25" s="15"/>
      <c r="AI25" s="15"/>
      <c r="AJ25" s="16"/>
      <c r="AL25" s="43">
        <v>0</v>
      </c>
      <c r="AM25" s="15">
        <v>0</v>
      </c>
      <c r="AN25" s="15">
        <v>0</v>
      </c>
      <c r="AO25" s="15">
        <v>0</v>
      </c>
      <c r="AP25" s="15">
        <v>0</v>
      </c>
      <c r="AQ25" s="15">
        <v>0</v>
      </c>
      <c r="AR25" s="15">
        <v>0</v>
      </c>
      <c r="AS25" s="15">
        <v>0</v>
      </c>
      <c r="AT25" s="15">
        <v>0</v>
      </c>
      <c r="AU25" s="15">
        <v>0</v>
      </c>
      <c r="AV25" s="15">
        <v>0</v>
      </c>
      <c r="AW25" s="16">
        <v>0</v>
      </c>
      <c r="AX25" s="2" t="s">
        <v>129</v>
      </c>
      <c r="AY25" s="2">
        <f>SUM(AN26:AW35)</f>
        <v>340.24845437829725</v>
      </c>
      <c r="FV25" s="2"/>
      <c r="FW25" s="2"/>
    </row>
    <row r="26" spans="1:180">
      <c r="A26" s="21">
        <v>2</v>
      </c>
      <c r="B26" s="15">
        <f t="shared" si="1"/>
        <v>1.5</v>
      </c>
      <c r="C26" s="15">
        <f t="shared" si="2"/>
        <v>6</v>
      </c>
      <c r="D26" s="15">
        <f>AY39</f>
        <v>324.74259536570668</v>
      </c>
      <c r="E26" s="15">
        <f t="shared" si="3"/>
        <v>249.37164365400147</v>
      </c>
      <c r="F26" s="15">
        <f t="shared" si="4"/>
        <v>6.3346187532878986</v>
      </c>
      <c r="G26" s="15">
        <f t="shared" ref="G26:G34" si="5">E26*F26</f>
        <v>1579.6742904288649</v>
      </c>
      <c r="H26" s="15"/>
      <c r="I26" s="16"/>
      <c r="K26" s="6">
        <v>1</v>
      </c>
      <c r="L26" s="7">
        <f>$B$9/2-($B$18/2+$B$18*(K26-1))</f>
        <v>0.45</v>
      </c>
      <c r="M26" s="7">
        <f t="shared" ref="M26:V35" si="6">SQRT(M$24^2+$L26^2)</f>
        <v>1.6140012391568974</v>
      </c>
      <c r="N26" s="7">
        <f t="shared" si="6"/>
        <v>1.710263137648707</v>
      </c>
      <c r="O26" s="13">
        <f t="shared" si="6"/>
        <v>1.8069310999592652</v>
      </c>
      <c r="P26" s="13">
        <f t="shared" si="6"/>
        <v>1.9039432764659772</v>
      </c>
      <c r="Q26" s="13">
        <f t="shared" si="6"/>
        <v>2.00124960961895</v>
      </c>
      <c r="R26" s="13">
        <f t="shared" si="6"/>
        <v>2.0988091861815357</v>
      </c>
      <c r="S26" s="13">
        <f t="shared" si="6"/>
        <v>2.1965882636488798</v>
      </c>
      <c r="T26" s="13">
        <f t="shared" si="6"/>
        <v>2.2945587811167529</v>
      </c>
      <c r="U26" s="13">
        <f t="shared" si="6"/>
        <v>2.3926972228010799</v>
      </c>
      <c r="V26" s="14">
        <f t="shared" si="6"/>
        <v>2.4909837414162301</v>
      </c>
      <c r="X26" s="43">
        <v>1</v>
      </c>
      <c r="Y26" s="15">
        <v>1</v>
      </c>
      <c r="Z26" s="15">
        <f t="shared" ref="Z26:Z35" si="7">Y26*$B$19</f>
        <v>0.75</v>
      </c>
      <c r="AA26" s="15">
        <f t="shared" ref="AA26:AA35" si="8">SQRT($Z26^2+M26^2)</f>
        <v>1.7797471730557688</v>
      </c>
      <c r="AB26" s="15">
        <f t="shared" ref="AB26:AB35" si="9">SQRT($Z26^2+N26^2)</f>
        <v>1.8674849396983098</v>
      </c>
      <c r="AC26" s="15">
        <f t="shared" ref="AC26:AC35" si="10">SQRT($Z26^2+O26^2)</f>
        <v>1.9563997546513852</v>
      </c>
      <c r="AD26" s="15">
        <f t="shared" ref="AD26:AD35" si="11">SQRT($Z26^2+P26^2)</f>
        <v>2.0463381929681126</v>
      </c>
      <c r="AE26" s="15">
        <f t="shared" ref="AE26:AE35" si="12">SQRT($Z26^2+Q26^2)</f>
        <v>2.137171027316251</v>
      </c>
      <c r="AF26" s="15">
        <f t="shared" ref="AF26:AF35" si="13">SQRT($Z26^2+R26^2)</f>
        <v>2.228788908802267</v>
      </c>
      <c r="AG26" s="15">
        <f t="shared" ref="AG26:AG35" si="14">SQRT($Z26^2+S26^2)</f>
        <v>2.3210988776870325</v>
      </c>
      <c r="AH26" s="15">
        <f t="shared" ref="AH26:AH35" si="15">SQRT($Z26^2+T26^2)</f>
        <v>2.4140215409146619</v>
      </c>
      <c r="AI26" s="15">
        <f t="shared" ref="AI26:AI35" si="16">SQRT($Z26^2+U26^2)</f>
        <v>2.507488783623967</v>
      </c>
      <c r="AJ26" s="16">
        <f t="shared" ref="AJ26:AJ35" si="17">SQRT($Z26^2+V26^2)</f>
        <v>2.6014419078657127</v>
      </c>
      <c r="AL26" s="43">
        <v>1</v>
      </c>
      <c r="AM26" s="15">
        <f t="shared" ref="AM26:AM35" si="18">AL26*$B$19</f>
        <v>0.75</v>
      </c>
      <c r="AN26" s="15">
        <f t="shared" ref="AN26:AN35" si="19">$B$20/(2*PI())*(3*M26^2*$AM26/AA26^5-(1-2*$B$11)/(AA26*(AA26+$AM26)))*(M$24/M26)</f>
        <v>5.3692946227939586</v>
      </c>
      <c r="AO26" s="15">
        <f t="shared" ref="AO26:AO35" si="20">$B$20/(2*PI())*(3*N26^2*$AM26/AB26^5-(1-2*$B$11)/(AB26*(AB26+$AM26)))*(N$24/N26)</f>
        <v>4.6995868820176527</v>
      </c>
      <c r="AP26" s="15">
        <f t="shared" ref="AP26:AP35" si="21">$B$20/(2*PI())*(3*O26^2*$AM26/AC26^5-(1-2*$B$11)/(AC26*(AC26+$AM26)))*(O$24/O26)</f>
        <v>4.1159116580581534</v>
      </c>
      <c r="AQ26" s="15">
        <f t="shared" ref="AQ26:AQ35" si="22">$B$20/(2*PI())*(3*P26^2*$AM26/AD26^5-(1-2*$B$11)/(AD26*(AD26+$AM26)))*(P$24/P26)</f>
        <v>3.6088137071025796</v>
      </c>
      <c r="AR26" s="15">
        <f t="shared" ref="AR26:AR35" si="23">$B$20/(2*PI())*(3*Q26^2*$AM26/AE26^5-(1-2*$B$11)/(AE26*(AE26+$AM26)))*(Q$24/Q26)</f>
        <v>3.1689143686243222</v>
      </c>
      <c r="AS26" s="15">
        <f t="shared" ref="AS26:AS35" si="24">$B$20/(2*PI())*(3*R26^2*$AM26/AF26^5-(1-2*$B$11)/(AF26*(AF26+$AM26)))*(R$24/R26)</f>
        <v>2.7874442204117575</v>
      </c>
      <c r="AT26" s="15">
        <f t="shared" ref="AT26:AT35" si="25">$B$20/(2*PI())*(3*S26^2*$AM26/AG26^5-(1-2*$B$11)/(AG26*(AG26+$AM26)))*(S$24/S26)</f>
        <v>2.4564843839636761</v>
      </c>
      <c r="AU26" s="15">
        <f t="shared" ref="AU26:AU35" si="26">$B$20/(2*PI())*(3*T26^2*$AM26/AH26^5-(1-2*$B$11)/(AH26*(AH26+$AM26)))*(T$24/T26)</f>
        <v>2.1690386911730446</v>
      </c>
      <c r="AV26" s="15">
        <f t="shared" ref="AV26:AV35" si="27">$B$20/(2*PI())*(3*U26^2*$AM26/AI26^5-(1-2*$B$11)/(AI26*(AI26+$AM26)))*(U$24/U26)</f>
        <v>1.9190128309098999</v>
      </c>
      <c r="AW26" s="16">
        <f t="shared" ref="AW26:AW35" si="28">$B$20/(2*PI())*(3*V26^2*$AM26/AJ26^5-(1-2*$B$11)/(AJ26*(AJ26+$AM26)))*(V$24/V26)</f>
        <v>1.7011465743930043</v>
      </c>
      <c r="FV26" s="2"/>
      <c r="FW26" s="2"/>
    </row>
    <row r="27" spans="1:180">
      <c r="A27" s="21">
        <v>3</v>
      </c>
      <c r="B27" s="15">
        <f t="shared" si="1"/>
        <v>2.25</v>
      </c>
      <c r="C27" s="15">
        <f t="shared" si="2"/>
        <v>5.25</v>
      </c>
      <c r="D27" s="15">
        <f>AY53</f>
        <v>186.41322908268435</v>
      </c>
      <c r="E27" s="15">
        <f t="shared" si="3"/>
        <v>191.68343416814665</v>
      </c>
      <c r="F27" s="15">
        <f t="shared" si="4"/>
        <v>5.6413494913636155</v>
      </c>
      <c r="G27" s="15">
        <f t="shared" si="5"/>
        <v>1081.3532438473051</v>
      </c>
      <c r="H27" s="15"/>
      <c r="I27" s="16"/>
      <c r="K27" s="6">
        <v>2</v>
      </c>
      <c r="L27" s="7">
        <f t="shared" ref="L27:L35" si="29">$B$9/2-($B$18/2+$B$18*(K27-1))</f>
        <v>0.35</v>
      </c>
      <c r="M27" s="7">
        <f t="shared" si="6"/>
        <v>1.5890248582070705</v>
      </c>
      <c r="N27" s="7">
        <f t="shared" si="6"/>
        <v>1.6867127793432999</v>
      </c>
      <c r="O27" s="13">
        <f t="shared" si="6"/>
        <v>1.7846568297574747</v>
      </c>
      <c r="P27" s="13">
        <f t="shared" si="6"/>
        <v>1.8828170383762732</v>
      </c>
      <c r="Q27" s="13">
        <f t="shared" si="6"/>
        <v>1.9811612756158949</v>
      </c>
      <c r="R27" s="13">
        <f t="shared" si="6"/>
        <v>2.0796634343085421</v>
      </c>
      <c r="S27" s="13">
        <f t="shared" si="6"/>
        <v>2.1783020910791966</v>
      </c>
      <c r="T27" s="13">
        <f t="shared" si="6"/>
        <v>2.2770595073471398</v>
      </c>
      <c r="U27" s="13">
        <f t="shared" si="6"/>
        <v>2.3759208741033446</v>
      </c>
      <c r="V27" s="14">
        <f t="shared" si="6"/>
        <v>2.4748737341529163</v>
      </c>
      <c r="X27" s="43">
        <v>2</v>
      </c>
      <c r="Y27" s="15">
        <v>1</v>
      </c>
      <c r="Z27" s="15">
        <f t="shared" si="7"/>
        <v>0.75</v>
      </c>
      <c r="AA27" s="15">
        <f t="shared" si="8"/>
        <v>1.7571283390805579</v>
      </c>
      <c r="AB27" s="15">
        <f t="shared" si="9"/>
        <v>1.845941494197473</v>
      </c>
      <c r="AC27" s="15">
        <f t="shared" si="10"/>
        <v>1.935846068260594</v>
      </c>
      <c r="AD27" s="15">
        <f t="shared" si="11"/>
        <v>2.0266968199511246</v>
      </c>
      <c r="AE27" s="15">
        <f t="shared" si="12"/>
        <v>2.1183720164314863</v>
      </c>
      <c r="AF27" s="15">
        <f t="shared" si="13"/>
        <v>2.2107690969434142</v>
      </c>
      <c r="AG27" s="15">
        <f t="shared" si="14"/>
        <v>2.3038012067016544</v>
      </c>
      <c r="AH27" s="15">
        <f t="shared" si="15"/>
        <v>2.3973944189473704</v>
      </c>
      <c r="AI27" s="15">
        <f t="shared" si="16"/>
        <v>2.4914855006601986</v>
      </c>
      <c r="AJ27" s="16">
        <f t="shared" si="17"/>
        <v>2.5860201081971503</v>
      </c>
      <c r="AL27" s="43">
        <v>1</v>
      </c>
      <c r="AM27" s="15">
        <f t="shared" si="18"/>
        <v>0.75</v>
      </c>
      <c r="AN27" s="15">
        <f t="shared" si="19"/>
        <v>5.6537176284697868</v>
      </c>
      <c r="AO27" s="15">
        <f t="shared" si="20"/>
        <v>4.9277996746030102</v>
      </c>
      <c r="AP27" s="15">
        <f t="shared" si="21"/>
        <v>4.2996055658607544</v>
      </c>
      <c r="AQ27" s="15">
        <f t="shared" si="22"/>
        <v>3.7572414286166738</v>
      </c>
      <c r="AR27" s="15">
        <f t="shared" si="23"/>
        <v>3.289356612018751</v>
      </c>
      <c r="AS27" s="15">
        <f t="shared" si="24"/>
        <v>2.8856161833503187</v>
      </c>
      <c r="AT27" s="15">
        <f t="shared" si="25"/>
        <v>2.5368717271220391</v>
      </c>
      <c r="AU27" s="15">
        <f t="shared" si="26"/>
        <v>2.2351670270642305</v>
      </c>
      <c r="AV27" s="15">
        <f t="shared" si="27"/>
        <v>1.9736600798028372</v>
      </c>
      <c r="AW27" s="16">
        <f t="shared" si="28"/>
        <v>1.7465085655498414</v>
      </c>
      <c r="FV27" s="2"/>
      <c r="FW27" s="2"/>
    </row>
    <row r="28" spans="1:180">
      <c r="A28" s="21">
        <v>4</v>
      </c>
      <c r="B28" s="15">
        <f t="shared" si="1"/>
        <v>3</v>
      </c>
      <c r="C28" s="15">
        <f t="shared" si="2"/>
        <v>4.5</v>
      </c>
      <c r="D28" s="15">
        <f>AY67</f>
        <v>95.803647340897044</v>
      </c>
      <c r="E28" s="15">
        <f t="shared" si="3"/>
        <v>105.83132865884303</v>
      </c>
      <c r="F28" s="15">
        <f t="shared" si="4"/>
        <v>4.911070523313505</v>
      </c>
      <c r="G28" s="15">
        <f t="shared" si="5"/>
        <v>519.74511861954784</v>
      </c>
      <c r="H28" s="15"/>
      <c r="I28" s="16"/>
      <c r="K28" s="6">
        <v>3</v>
      </c>
      <c r="L28" s="7">
        <f t="shared" si="29"/>
        <v>0.25</v>
      </c>
      <c r="M28" s="7">
        <f t="shared" si="6"/>
        <v>1.5700318468107584</v>
      </c>
      <c r="N28" s="7">
        <f t="shared" si="6"/>
        <v>1.6688319268278635</v>
      </c>
      <c r="O28" s="13">
        <f t="shared" si="6"/>
        <v>1.7677669529663689</v>
      </c>
      <c r="P28" s="13">
        <f t="shared" si="6"/>
        <v>1.8668154702594471</v>
      </c>
      <c r="Q28" s="13">
        <f t="shared" si="6"/>
        <v>1.9659603251337499</v>
      </c>
      <c r="R28" s="13">
        <f t="shared" si="6"/>
        <v>2.0651876428063383</v>
      </c>
      <c r="S28" s="13">
        <f t="shared" si="6"/>
        <v>2.1644860821913365</v>
      </c>
      <c r="T28" s="13">
        <f t="shared" si="6"/>
        <v>2.2638462845343543</v>
      </c>
      <c r="U28" s="13">
        <f t="shared" si="6"/>
        <v>2.363260459619295</v>
      </c>
      <c r="V28" s="14">
        <f t="shared" si="6"/>
        <v>2.4627220712049507</v>
      </c>
      <c r="X28" s="43">
        <v>3</v>
      </c>
      <c r="Y28" s="15">
        <v>1</v>
      </c>
      <c r="Z28" s="15">
        <f t="shared" si="7"/>
        <v>0.75</v>
      </c>
      <c r="AA28" s="15">
        <f t="shared" si="8"/>
        <v>1.7399712641305318</v>
      </c>
      <c r="AB28" s="15">
        <f t="shared" si="9"/>
        <v>1.8296174463531987</v>
      </c>
      <c r="AC28" s="15">
        <f t="shared" si="10"/>
        <v>1.9202864369671522</v>
      </c>
      <c r="AD28" s="15">
        <f t="shared" si="11"/>
        <v>2.0118399538730709</v>
      </c>
      <c r="AE28" s="15">
        <f t="shared" si="12"/>
        <v>2.1041625412500813</v>
      </c>
      <c r="AF28" s="15">
        <f t="shared" si="13"/>
        <v>2.1971572542719833</v>
      </c>
      <c r="AG28" s="15">
        <f t="shared" si="14"/>
        <v>2.2907422377910618</v>
      </c>
      <c r="AH28" s="15">
        <f t="shared" si="15"/>
        <v>2.3848480035423645</v>
      </c>
      <c r="AI28" s="15">
        <f t="shared" si="16"/>
        <v>2.4794152536434879</v>
      </c>
      <c r="AJ28" s="16">
        <f t="shared" si="17"/>
        <v>2.5743931323712008</v>
      </c>
      <c r="AL28" s="43">
        <v>1</v>
      </c>
      <c r="AM28" s="15">
        <f t="shared" si="18"/>
        <v>0.75</v>
      </c>
      <c r="AN28" s="15">
        <f t="shared" si="19"/>
        <v>5.8813802224431138</v>
      </c>
      <c r="AO28" s="15">
        <f t="shared" si="20"/>
        <v>5.1094854364641114</v>
      </c>
      <c r="AP28" s="15">
        <f t="shared" si="21"/>
        <v>4.4451404706136177</v>
      </c>
      <c r="AQ28" s="15">
        <f t="shared" si="22"/>
        <v>3.874325120229865</v>
      </c>
      <c r="AR28" s="15">
        <f t="shared" si="23"/>
        <v>3.3839944990029229</v>
      </c>
      <c r="AS28" s="15">
        <f t="shared" si="24"/>
        <v>2.9624855269954118</v>
      </c>
      <c r="AT28" s="15">
        <f t="shared" si="25"/>
        <v>2.5996179887114015</v>
      </c>
      <c r="AU28" s="15">
        <f t="shared" si="26"/>
        <v>2.2866376446563454</v>
      </c>
      <c r="AV28" s="15">
        <f t="shared" si="27"/>
        <v>2.01608615776281</v>
      </c>
      <c r="AW28" s="16">
        <f t="shared" si="28"/>
        <v>1.7816449127855067</v>
      </c>
      <c r="FV28" s="2"/>
      <c r="FW28" s="2"/>
    </row>
    <row r="29" spans="1:180">
      <c r="A29" s="21">
        <v>5</v>
      </c>
      <c r="B29" s="15">
        <f t="shared" si="1"/>
        <v>3.75</v>
      </c>
      <c r="C29" s="15">
        <f t="shared" si="2"/>
        <v>3.75</v>
      </c>
      <c r="D29" s="15">
        <f>AY81</f>
        <v>48.628253374184595</v>
      </c>
      <c r="E29" s="15">
        <f t="shared" si="3"/>
        <v>54.161962768155618</v>
      </c>
      <c r="F29" s="15">
        <f t="shared" si="4"/>
        <v>4.1653683846911971</v>
      </c>
      <c r="G29" s="15">
        <f t="shared" si="5"/>
        <v>225.60452736729712</v>
      </c>
      <c r="H29" s="15"/>
      <c r="I29" s="16"/>
      <c r="K29" s="6">
        <v>4</v>
      </c>
      <c r="L29" s="7">
        <f t="shared" si="29"/>
        <v>0.14999999999999997</v>
      </c>
      <c r="M29" s="7">
        <f t="shared" si="6"/>
        <v>1.5572411502397439</v>
      </c>
      <c r="N29" s="7">
        <f t="shared" si="6"/>
        <v>1.656804152578089</v>
      </c>
      <c r="O29" s="13">
        <f t="shared" si="6"/>
        <v>1.7564168070250297</v>
      </c>
      <c r="P29" s="13">
        <f t="shared" si="6"/>
        <v>1.8560711193270587</v>
      </c>
      <c r="Q29" s="13">
        <f t="shared" si="6"/>
        <v>1.9557607215607946</v>
      </c>
      <c r="R29" s="13">
        <f t="shared" si="6"/>
        <v>2.0554804791094465</v>
      </c>
      <c r="S29" s="13">
        <f t="shared" si="6"/>
        <v>2.155226206225231</v>
      </c>
      <c r="T29" s="13">
        <f t="shared" si="6"/>
        <v>2.2549944567559361</v>
      </c>
      <c r="U29" s="13">
        <f t="shared" si="6"/>
        <v>2.3547823678633235</v>
      </c>
      <c r="V29" s="14">
        <f t="shared" si="6"/>
        <v>2.4545875417267156</v>
      </c>
      <c r="X29" s="43">
        <v>4</v>
      </c>
      <c r="Y29" s="15">
        <v>1</v>
      </c>
      <c r="Z29" s="15">
        <f t="shared" si="7"/>
        <v>0.75</v>
      </c>
      <c r="AA29" s="15">
        <f t="shared" si="8"/>
        <v>1.7284386017443607</v>
      </c>
      <c r="AB29" s="15">
        <f t="shared" si="9"/>
        <v>1.818653347947321</v>
      </c>
      <c r="AC29" s="15">
        <f t="shared" si="10"/>
        <v>1.9098429254784279</v>
      </c>
      <c r="AD29" s="15">
        <f t="shared" si="11"/>
        <v>2.0018741219167602</v>
      </c>
      <c r="AE29" s="15">
        <f t="shared" si="12"/>
        <v>2.0946360065653411</v>
      </c>
      <c r="AF29" s="15">
        <f t="shared" si="13"/>
        <v>2.1880356487041066</v>
      </c>
      <c r="AG29" s="15">
        <f t="shared" si="14"/>
        <v>2.281994741448806</v>
      </c>
      <c r="AH29" s="15">
        <f t="shared" si="15"/>
        <v>2.3764469276632285</v>
      </c>
      <c r="AI29" s="15">
        <f t="shared" si="16"/>
        <v>2.4713356712514796</v>
      </c>
      <c r="AJ29" s="16">
        <f t="shared" si="17"/>
        <v>2.5666125535421198</v>
      </c>
      <c r="AL29" s="43">
        <v>1</v>
      </c>
      <c r="AM29" s="15">
        <f t="shared" si="18"/>
        <v>0.75</v>
      </c>
      <c r="AN29" s="15">
        <f t="shared" si="19"/>
        <v>6.0405041836863473</v>
      </c>
      <c r="AO29" s="15">
        <f t="shared" si="20"/>
        <v>5.2359694442555353</v>
      </c>
      <c r="AP29" s="15">
        <f t="shared" si="21"/>
        <v>4.5460961512001381</v>
      </c>
      <c r="AQ29" s="15">
        <f t="shared" si="22"/>
        <v>3.9552853258732728</v>
      </c>
      <c r="AR29" s="15">
        <f t="shared" si="23"/>
        <v>3.449247127313694</v>
      </c>
      <c r="AS29" s="15">
        <f t="shared" si="24"/>
        <v>3.0153512233004709</v>
      </c>
      <c r="AT29" s="15">
        <f t="shared" si="25"/>
        <v>2.6426717894380749</v>
      </c>
      <c r="AU29" s="15">
        <f t="shared" si="26"/>
        <v>2.3218818236087215</v>
      </c>
      <c r="AV29" s="15">
        <f t="shared" si="27"/>
        <v>2.0450832725454426</v>
      </c>
      <c r="AW29" s="16">
        <f t="shared" si="28"/>
        <v>1.8056195105772339</v>
      </c>
      <c r="FV29" s="2"/>
      <c r="FW29" s="2"/>
    </row>
    <row r="30" spans="1:180">
      <c r="A30" s="21">
        <v>6</v>
      </c>
      <c r="B30" s="15">
        <f t="shared" si="1"/>
        <v>4.5</v>
      </c>
      <c r="C30" s="15">
        <f t="shared" si="2"/>
        <v>3</v>
      </c>
      <c r="D30" s="15">
        <f>AY95</f>
        <v>24.869315644387729</v>
      </c>
      <c r="E30" s="15">
        <f t="shared" si="3"/>
        <v>27.561588381964619</v>
      </c>
      <c r="F30" s="15">
        <f t="shared" si="4"/>
        <v>3.4156865187755487</v>
      </c>
      <c r="G30" s="15">
        <f t="shared" si="5"/>
        <v>94.141745872317344</v>
      </c>
      <c r="H30" s="15"/>
      <c r="I30" s="16"/>
      <c r="K30" s="6">
        <v>5</v>
      </c>
      <c r="L30" s="7">
        <f t="shared" si="29"/>
        <v>4.9999999999999989E-2</v>
      </c>
      <c r="M30" s="7">
        <f t="shared" si="6"/>
        <v>1.5508062419270823</v>
      </c>
      <c r="N30" s="7">
        <f t="shared" si="6"/>
        <v>1.6507574019219178</v>
      </c>
      <c r="O30" s="13">
        <f t="shared" si="6"/>
        <v>1.7507141400011597</v>
      </c>
      <c r="P30" s="13">
        <f t="shared" si="6"/>
        <v>1.8506755523321747</v>
      </c>
      <c r="Q30" s="13">
        <f t="shared" si="6"/>
        <v>1.9506409203131159</v>
      </c>
      <c r="R30" s="13">
        <f t="shared" si="6"/>
        <v>2.0506096654409878</v>
      </c>
      <c r="S30" s="13">
        <f t="shared" si="6"/>
        <v>2.1505813167606571</v>
      </c>
      <c r="T30" s="13">
        <f t="shared" si="6"/>
        <v>2.2505554869853799</v>
      </c>
      <c r="U30" s="13">
        <f t="shared" si="6"/>
        <v>2.350531854708632</v>
      </c>
      <c r="V30" s="14">
        <f t="shared" si="6"/>
        <v>2.4505101509685696</v>
      </c>
      <c r="X30" s="43">
        <v>5</v>
      </c>
      <c r="Y30" s="15">
        <v>1</v>
      </c>
      <c r="Z30" s="15">
        <f t="shared" si="7"/>
        <v>0.75</v>
      </c>
      <c r="AA30" s="15">
        <f t="shared" si="8"/>
        <v>1.7226433176952216</v>
      </c>
      <c r="AB30" s="15">
        <f t="shared" si="9"/>
        <v>1.8131464364468746</v>
      </c>
      <c r="AC30" s="15">
        <f t="shared" si="10"/>
        <v>1.9045996954740909</v>
      </c>
      <c r="AD30" s="15">
        <f t="shared" si="11"/>
        <v>1.9968725547715858</v>
      </c>
      <c r="AE30" s="15">
        <f t="shared" si="12"/>
        <v>2.0898564544006364</v>
      </c>
      <c r="AF30" s="15">
        <f t="shared" si="13"/>
        <v>2.183460556089805</v>
      </c>
      <c r="AG30" s="15">
        <f t="shared" si="14"/>
        <v>2.2776083947860752</v>
      </c>
      <c r="AH30" s="15">
        <f t="shared" si="15"/>
        <v>2.3722352328552918</v>
      </c>
      <c r="AI30" s="15">
        <f t="shared" si="16"/>
        <v>2.4672859582950659</v>
      </c>
      <c r="AJ30" s="16">
        <f t="shared" si="17"/>
        <v>2.5627134057479002</v>
      </c>
      <c r="AL30" s="43">
        <v>1</v>
      </c>
      <c r="AM30" s="15">
        <f t="shared" si="18"/>
        <v>0.75</v>
      </c>
      <c r="AN30" s="15">
        <f t="shared" si="19"/>
        <v>6.1223824425345743</v>
      </c>
      <c r="AO30" s="15">
        <f t="shared" si="20"/>
        <v>5.3008940016043509</v>
      </c>
      <c r="AP30" s="15">
        <f t="shared" si="21"/>
        <v>4.5978038022317032</v>
      </c>
      <c r="AQ30" s="15">
        <f t="shared" si="22"/>
        <v>3.9966707149224803</v>
      </c>
      <c r="AR30" s="15">
        <f t="shared" si="23"/>
        <v>3.4825448990935044</v>
      </c>
      <c r="AS30" s="15">
        <f t="shared" si="24"/>
        <v>3.0422859796074109</v>
      </c>
      <c r="AT30" s="15">
        <f t="shared" si="25"/>
        <v>2.6645767943672114</v>
      </c>
      <c r="AU30" s="15">
        <f t="shared" si="26"/>
        <v>2.3397909506658499</v>
      </c>
      <c r="AV30" s="15">
        <f t="shared" si="27"/>
        <v>2.0598013772742623</v>
      </c>
      <c r="AW30" s="16">
        <f t="shared" si="28"/>
        <v>1.8177759634768917</v>
      </c>
      <c r="FV30" s="2"/>
      <c r="FW30" s="2"/>
    </row>
    <row r="31" spans="1:180">
      <c r="A31" s="21">
        <v>7</v>
      </c>
      <c r="B31" s="15">
        <f t="shared" si="1"/>
        <v>5.25</v>
      </c>
      <c r="C31" s="15">
        <f t="shared" si="2"/>
        <v>2.25</v>
      </c>
      <c r="D31" s="15">
        <f>AY109</f>
        <v>12.694957403780215</v>
      </c>
      <c r="E31" s="15">
        <f t="shared" si="3"/>
        <v>14.08660239306298</v>
      </c>
      <c r="F31" s="15">
        <f t="shared" si="4"/>
        <v>2.6654428912101187</v>
      </c>
      <c r="G31" s="15">
        <f t="shared" si="5"/>
        <v>37.54703420989317</v>
      </c>
      <c r="H31" s="15"/>
      <c r="I31" s="16"/>
      <c r="K31" s="6">
        <v>6</v>
      </c>
      <c r="L31" s="7">
        <f t="shared" si="29"/>
        <v>-5.0000000000000044E-2</v>
      </c>
      <c r="M31" s="7">
        <f t="shared" si="6"/>
        <v>1.5508062419270823</v>
      </c>
      <c r="N31" s="7">
        <f t="shared" si="6"/>
        <v>1.6507574019219178</v>
      </c>
      <c r="O31" s="13">
        <f t="shared" si="6"/>
        <v>1.7507141400011597</v>
      </c>
      <c r="P31" s="13">
        <f t="shared" si="6"/>
        <v>1.8506755523321747</v>
      </c>
      <c r="Q31" s="13">
        <f t="shared" si="6"/>
        <v>1.9506409203131159</v>
      </c>
      <c r="R31" s="13">
        <f t="shared" si="6"/>
        <v>2.0506096654409878</v>
      </c>
      <c r="S31" s="13">
        <f t="shared" si="6"/>
        <v>2.1505813167606571</v>
      </c>
      <c r="T31" s="13">
        <f t="shared" si="6"/>
        <v>2.2505554869853799</v>
      </c>
      <c r="U31" s="13">
        <f t="shared" si="6"/>
        <v>2.350531854708632</v>
      </c>
      <c r="V31" s="14">
        <f t="shared" si="6"/>
        <v>2.4505101509685696</v>
      </c>
      <c r="X31" s="43">
        <v>6</v>
      </c>
      <c r="Y31" s="15">
        <v>1</v>
      </c>
      <c r="Z31" s="15">
        <f t="shared" si="7"/>
        <v>0.75</v>
      </c>
      <c r="AA31" s="15">
        <f t="shared" si="8"/>
        <v>1.7226433176952216</v>
      </c>
      <c r="AB31" s="15">
        <f t="shared" si="9"/>
        <v>1.8131464364468746</v>
      </c>
      <c r="AC31" s="15">
        <f t="shared" si="10"/>
        <v>1.9045996954740909</v>
      </c>
      <c r="AD31" s="15">
        <f t="shared" si="11"/>
        <v>1.9968725547715858</v>
      </c>
      <c r="AE31" s="15">
        <f t="shared" si="12"/>
        <v>2.0898564544006364</v>
      </c>
      <c r="AF31" s="15">
        <f t="shared" si="13"/>
        <v>2.183460556089805</v>
      </c>
      <c r="AG31" s="15">
        <f t="shared" si="14"/>
        <v>2.2776083947860752</v>
      </c>
      <c r="AH31" s="15">
        <f t="shared" si="15"/>
        <v>2.3722352328552918</v>
      </c>
      <c r="AI31" s="15">
        <f t="shared" si="16"/>
        <v>2.4672859582950659</v>
      </c>
      <c r="AJ31" s="16">
        <f t="shared" si="17"/>
        <v>2.5627134057479002</v>
      </c>
      <c r="AL31" s="43">
        <v>1</v>
      </c>
      <c r="AM31" s="15">
        <f t="shared" si="18"/>
        <v>0.75</v>
      </c>
      <c r="AN31" s="15">
        <f t="shared" si="19"/>
        <v>6.1223824425345743</v>
      </c>
      <c r="AO31" s="15">
        <f t="shared" si="20"/>
        <v>5.3008940016043509</v>
      </c>
      <c r="AP31" s="15">
        <f t="shared" si="21"/>
        <v>4.5978038022317032</v>
      </c>
      <c r="AQ31" s="15">
        <f t="shared" si="22"/>
        <v>3.9966707149224803</v>
      </c>
      <c r="AR31" s="15">
        <f t="shared" si="23"/>
        <v>3.4825448990935044</v>
      </c>
      <c r="AS31" s="15">
        <f t="shared" si="24"/>
        <v>3.0422859796074109</v>
      </c>
      <c r="AT31" s="15">
        <f t="shared" si="25"/>
        <v>2.6645767943672114</v>
      </c>
      <c r="AU31" s="15">
        <f t="shared" si="26"/>
        <v>2.3397909506658499</v>
      </c>
      <c r="AV31" s="15">
        <f t="shared" si="27"/>
        <v>2.0598013772742623</v>
      </c>
      <c r="AW31" s="16">
        <f t="shared" si="28"/>
        <v>1.8177759634768917</v>
      </c>
      <c r="FV31" s="2"/>
      <c r="FW31" s="2"/>
    </row>
    <row r="32" spans="1:180">
      <c r="A32" s="21">
        <v>8</v>
      </c>
      <c r="B32" s="15">
        <f t="shared" si="1"/>
        <v>6</v>
      </c>
      <c r="C32" s="15">
        <f t="shared" si="2"/>
        <v>1.5</v>
      </c>
      <c r="D32" s="15">
        <f>AY123</f>
        <v>6.2753558785520598</v>
      </c>
      <c r="E32" s="15">
        <f t="shared" si="3"/>
        <v>7.1138674808746032</v>
      </c>
      <c r="F32" s="15">
        <f t="shared" si="4"/>
        <v>1.9161119125758161</v>
      </c>
      <c r="G32" s="15">
        <f t="shared" si="5"/>
        <v>13.630966224589539</v>
      </c>
      <c r="H32" s="15"/>
      <c r="I32" s="16"/>
      <c r="K32" s="6">
        <v>7</v>
      </c>
      <c r="L32" s="7">
        <f t="shared" si="29"/>
        <v>-0.15000000000000013</v>
      </c>
      <c r="M32" s="7">
        <f t="shared" si="6"/>
        <v>1.5572411502397439</v>
      </c>
      <c r="N32" s="7">
        <f t="shared" si="6"/>
        <v>1.656804152578089</v>
      </c>
      <c r="O32" s="13">
        <f t="shared" si="6"/>
        <v>1.7564168070250297</v>
      </c>
      <c r="P32" s="13">
        <f t="shared" si="6"/>
        <v>1.8560711193270587</v>
      </c>
      <c r="Q32" s="13">
        <f t="shared" si="6"/>
        <v>1.9557607215607946</v>
      </c>
      <c r="R32" s="13">
        <f t="shared" si="6"/>
        <v>2.0554804791094465</v>
      </c>
      <c r="S32" s="13">
        <f t="shared" si="6"/>
        <v>2.155226206225231</v>
      </c>
      <c r="T32" s="13">
        <f t="shared" si="6"/>
        <v>2.2549944567559361</v>
      </c>
      <c r="U32" s="13">
        <f t="shared" si="6"/>
        <v>2.3547823678633235</v>
      </c>
      <c r="V32" s="14">
        <f t="shared" si="6"/>
        <v>2.4545875417267156</v>
      </c>
      <c r="X32" s="43">
        <v>7</v>
      </c>
      <c r="Y32" s="15">
        <v>1</v>
      </c>
      <c r="Z32" s="15">
        <f t="shared" si="7"/>
        <v>0.75</v>
      </c>
      <c r="AA32" s="15">
        <f t="shared" si="8"/>
        <v>1.7284386017443607</v>
      </c>
      <c r="AB32" s="15">
        <f t="shared" si="9"/>
        <v>1.818653347947321</v>
      </c>
      <c r="AC32" s="15">
        <f t="shared" si="10"/>
        <v>1.9098429254784279</v>
      </c>
      <c r="AD32" s="15">
        <f t="shared" si="11"/>
        <v>2.0018741219167602</v>
      </c>
      <c r="AE32" s="15">
        <f t="shared" si="12"/>
        <v>2.0946360065653411</v>
      </c>
      <c r="AF32" s="15">
        <f t="shared" si="13"/>
        <v>2.1880356487041066</v>
      </c>
      <c r="AG32" s="15">
        <f t="shared" si="14"/>
        <v>2.281994741448806</v>
      </c>
      <c r="AH32" s="15">
        <f t="shared" si="15"/>
        <v>2.3764469276632285</v>
      </c>
      <c r="AI32" s="15">
        <f t="shared" si="16"/>
        <v>2.4713356712514796</v>
      </c>
      <c r="AJ32" s="16">
        <f t="shared" si="17"/>
        <v>2.5666125535421198</v>
      </c>
      <c r="AL32" s="43">
        <v>1</v>
      </c>
      <c r="AM32" s="15">
        <f t="shared" si="18"/>
        <v>0.75</v>
      </c>
      <c r="AN32" s="15">
        <f t="shared" si="19"/>
        <v>6.0405041836863473</v>
      </c>
      <c r="AO32" s="15">
        <f t="shared" si="20"/>
        <v>5.2359694442555353</v>
      </c>
      <c r="AP32" s="15">
        <f t="shared" si="21"/>
        <v>4.5460961512001381</v>
      </c>
      <c r="AQ32" s="15">
        <f t="shared" si="22"/>
        <v>3.9552853258732728</v>
      </c>
      <c r="AR32" s="15">
        <f t="shared" si="23"/>
        <v>3.449247127313694</v>
      </c>
      <c r="AS32" s="15">
        <f t="shared" si="24"/>
        <v>3.0153512233004709</v>
      </c>
      <c r="AT32" s="15">
        <f t="shared" si="25"/>
        <v>2.6426717894380749</v>
      </c>
      <c r="AU32" s="15">
        <f t="shared" si="26"/>
        <v>2.3218818236087215</v>
      </c>
      <c r="AV32" s="15">
        <f t="shared" si="27"/>
        <v>2.0450832725454426</v>
      </c>
      <c r="AW32" s="16">
        <f t="shared" si="28"/>
        <v>1.8056195105772339</v>
      </c>
      <c r="FV32" s="2"/>
      <c r="FW32" s="2"/>
    </row>
    <row r="33" spans="1:179">
      <c r="A33" s="21">
        <v>9</v>
      </c>
      <c r="B33" s="15">
        <f t="shared" si="1"/>
        <v>6.75</v>
      </c>
      <c r="C33" s="15">
        <f t="shared" si="2"/>
        <v>0.75</v>
      </c>
      <c r="D33" s="15">
        <f>AY137</f>
        <v>2.7988999907617185</v>
      </c>
      <c r="E33" s="15">
        <f t="shared" si="3"/>
        <v>3.4028459509926665</v>
      </c>
      <c r="F33" s="15">
        <f t="shared" si="4"/>
        <v>1.1691086176057266</v>
      </c>
      <c r="G33" s="15">
        <f t="shared" si="5"/>
        <v>3.9782965256902805</v>
      </c>
      <c r="H33" s="15"/>
      <c r="I33" s="16"/>
      <c r="K33" s="6">
        <v>8</v>
      </c>
      <c r="L33" s="7">
        <f t="shared" si="29"/>
        <v>-0.25000000000000011</v>
      </c>
      <c r="M33" s="7">
        <f t="shared" si="6"/>
        <v>1.5700318468107584</v>
      </c>
      <c r="N33" s="7">
        <f t="shared" si="6"/>
        <v>1.6688319268278635</v>
      </c>
      <c r="O33" s="13">
        <f t="shared" si="6"/>
        <v>1.7677669529663689</v>
      </c>
      <c r="P33" s="13">
        <f t="shared" si="6"/>
        <v>1.8668154702594471</v>
      </c>
      <c r="Q33" s="13">
        <f t="shared" si="6"/>
        <v>1.9659603251337499</v>
      </c>
      <c r="R33" s="13">
        <f t="shared" si="6"/>
        <v>2.0651876428063383</v>
      </c>
      <c r="S33" s="13">
        <f t="shared" si="6"/>
        <v>2.1644860821913365</v>
      </c>
      <c r="T33" s="13">
        <f t="shared" si="6"/>
        <v>2.2638462845343543</v>
      </c>
      <c r="U33" s="13">
        <f t="shared" si="6"/>
        <v>2.363260459619295</v>
      </c>
      <c r="V33" s="14">
        <f t="shared" si="6"/>
        <v>2.4627220712049507</v>
      </c>
      <c r="X33" s="43">
        <v>8</v>
      </c>
      <c r="Y33" s="15">
        <v>1</v>
      </c>
      <c r="Z33" s="15">
        <f t="shared" si="7"/>
        <v>0.75</v>
      </c>
      <c r="AA33" s="15">
        <f t="shared" si="8"/>
        <v>1.7399712641305318</v>
      </c>
      <c r="AB33" s="15">
        <f t="shared" si="9"/>
        <v>1.8296174463531987</v>
      </c>
      <c r="AC33" s="15">
        <f t="shared" si="10"/>
        <v>1.9202864369671522</v>
      </c>
      <c r="AD33" s="15">
        <f t="shared" si="11"/>
        <v>2.0118399538730709</v>
      </c>
      <c r="AE33" s="15">
        <f t="shared" si="12"/>
        <v>2.1041625412500813</v>
      </c>
      <c r="AF33" s="15">
        <f t="shared" si="13"/>
        <v>2.1971572542719833</v>
      </c>
      <c r="AG33" s="15">
        <f t="shared" si="14"/>
        <v>2.2907422377910618</v>
      </c>
      <c r="AH33" s="15">
        <f t="shared" si="15"/>
        <v>2.3848480035423645</v>
      </c>
      <c r="AI33" s="15">
        <f t="shared" si="16"/>
        <v>2.4794152536434879</v>
      </c>
      <c r="AJ33" s="16">
        <f t="shared" si="17"/>
        <v>2.5743931323712008</v>
      </c>
      <c r="AL33" s="43">
        <v>1</v>
      </c>
      <c r="AM33" s="15">
        <f t="shared" si="18"/>
        <v>0.75</v>
      </c>
      <c r="AN33" s="15">
        <f t="shared" si="19"/>
        <v>5.8813802224431138</v>
      </c>
      <c r="AO33" s="15">
        <f t="shared" si="20"/>
        <v>5.1094854364641114</v>
      </c>
      <c r="AP33" s="15">
        <f t="shared" si="21"/>
        <v>4.4451404706136177</v>
      </c>
      <c r="AQ33" s="15">
        <f t="shared" si="22"/>
        <v>3.874325120229865</v>
      </c>
      <c r="AR33" s="15">
        <f t="shared" si="23"/>
        <v>3.3839944990029229</v>
      </c>
      <c r="AS33" s="15">
        <f t="shared" si="24"/>
        <v>2.9624855269954118</v>
      </c>
      <c r="AT33" s="15">
        <f t="shared" si="25"/>
        <v>2.5996179887114015</v>
      </c>
      <c r="AU33" s="15">
        <f t="shared" si="26"/>
        <v>2.2866376446563454</v>
      </c>
      <c r="AV33" s="15">
        <f t="shared" si="27"/>
        <v>2.01608615776281</v>
      </c>
      <c r="AW33" s="16">
        <f t="shared" si="28"/>
        <v>1.7816449127855067</v>
      </c>
      <c r="FV33" s="2"/>
      <c r="FW33" s="2"/>
    </row>
    <row r="34" spans="1:179">
      <c r="A34" s="22">
        <v>10</v>
      </c>
      <c r="B34" s="23">
        <f t="shared" si="1"/>
        <v>7.5</v>
      </c>
      <c r="C34" s="23">
        <f t="shared" si="2"/>
        <v>0</v>
      </c>
      <c r="D34" s="23">
        <f>AY151</f>
        <v>0.88006986222591754</v>
      </c>
      <c r="E34" s="23">
        <f t="shared" si="3"/>
        <v>1.3796136948703634</v>
      </c>
      <c r="F34" s="23">
        <f t="shared" si="4"/>
        <v>0.42788158201900511</v>
      </c>
      <c r="G34" s="23">
        <f t="shared" si="5"/>
        <v>0.5903112903362161</v>
      </c>
      <c r="H34" s="23"/>
      <c r="I34" s="24"/>
      <c r="K34" s="6">
        <v>9</v>
      </c>
      <c r="L34" s="7">
        <f t="shared" si="29"/>
        <v>-0.35000000000000009</v>
      </c>
      <c r="M34" s="7">
        <f t="shared" si="6"/>
        <v>1.5890248582070705</v>
      </c>
      <c r="N34" s="7">
        <f t="shared" si="6"/>
        <v>1.6867127793432999</v>
      </c>
      <c r="O34" s="13">
        <f t="shared" si="6"/>
        <v>1.7846568297574747</v>
      </c>
      <c r="P34" s="13">
        <f t="shared" si="6"/>
        <v>1.8828170383762732</v>
      </c>
      <c r="Q34" s="13">
        <f t="shared" si="6"/>
        <v>1.9811612756158949</v>
      </c>
      <c r="R34" s="13">
        <f t="shared" si="6"/>
        <v>2.0796634343085421</v>
      </c>
      <c r="S34" s="13">
        <f t="shared" si="6"/>
        <v>2.178302091079197</v>
      </c>
      <c r="T34" s="13">
        <f t="shared" si="6"/>
        <v>2.2770595073471402</v>
      </c>
      <c r="U34" s="13">
        <f t="shared" si="6"/>
        <v>2.3759208741033446</v>
      </c>
      <c r="V34" s="14">
        <f t="shared" si="6"/>
        <v>2.4748737341529168</v>
      </c>
      <c r="X34" s="43">
        <v>9</v>
      </c>
      <c r="Y34" s="15">
        <v>1</v>
      </c>
      <c r="Z34" s="15">
        <f t="shared" si="7"/>
        <v>0.75</v>
      </c>
      <c r="AA34" s="15">
        <f t="shared" si="8"/>
        <v>1.7571283390805579</v>
      </c>
      <c r="AB34" s="15">
        <f t="shared" si="9"/>
        <v>1.845941494197473</v>
      </c>
      <c r="AC34" s="15">
        <f t="shared" si="10"/>
        <v>1.935846068260594</v>
      </c>
      <c r="AD34" s="15">
        <f t="shared" si="11"/>
        <v>2.0266968199511246</v>
      </c>
      <c r="AE34" s="15">
        <f t="shared" si="12"/>
        <v>2.1183720164314863</v>
      </c>
      <c r="AF34" s="15">
        <f t="shared" si="13"/>
        <v>2.2107690969434142</v>
      </c>
      <c r="AG34" s="15">
        <f t="shared" si="14"/>
        <v>2.3038012067016553</v>
      </c>
      <c r="AH34" s="15">
        <f t="shared" si="15"/>
        <v>2.3973944189473708</v>
      </c>
      <c r="AI34" s="15">
        <f t="shared" si="16"/>
        <v>2.4914855006601986</v>
      </c>
      <c r="AJ34" s="16">
        <f t="shared" si="17"/>
        <v>2.5860201081971503</v>
      </c>
      <c r="AL34" s="43">
        <v>1</v>
      </c>
      <c r="AM34" s="15">
        <f t="shared" si="18"/>
        <v>0.75</v>
      </c>
      <c r="AN34" s="15">
        <f t="shared" si="19"/>
        <v>5.6537176284697868</v>
      </c>
      <c r="AO34" s="15">
        <f t="shared" si="20"/>
        <v>4.9277996746030102</v>
      </c>
      <c r="AP34" s="15">
        <f t="shared" si="21"/>
        <v>4.2996055658607544</v>
      </c>
      <c r="AQ34" s="15">
        <f t="shared" si="22"/>
        <v>3.7572414286166738</v>
      </c>
      <c r="AR34" s="15">
        <f t="shared" si="23"/>
        <v>3.289356612018751</v>
      </c>
      <c r="AS34" s="15">
        <f t="shared" si="24"/>
        <v>2.8856161833503187</v>
      </c>
      <c r="AT34" s="15">
        <f t="shared" si="25"/>
        <v>2.5368717271220347</v>
      </c>
      <c r="AU34" s="15">
        <f t="shared" si="26"/>
        <v>2.2351670270642292</v>
      </c>
      <c r="AV34" s="15">
        <f t="shared" si="27"/>
        <v>1.9736600798028372</v>
      </c>
      <c r="AW34" s="16">
        <f t="shared" si="28"/>
        <v>1.7465085655498425</v>
      </c>
      <c r="FV34" s="2"/>
      <c r="FW34" s="2"/>
    </row>
    <row r="35" spans="1:179">
      <c r="A35" s="22" t="s">
        <v>134</v>
      </c>
      <c r="B35" s="17"/>
      <c r="C35" s="17"/>
      <c r="D35" s="26" t="s">
        <v>135</v>
      </c>
      <c r="E35" s="26">
        <f>SUM(E24:E34)</f>
        <v>782.18605754277348</v>
      </c>
      <c r="F35" s="23"/>
      <c r="G35" s="23">
        <f>SUM(G25:G34)</f>
        <v>4449.4177271288709</v>
      </c>
      <c r="H35" s="26">
        <f>G35/E35</f>
        <v>5.6884390666674038</v>
      </c>
      <c r="I35" s="27" t="s">
        <v>2</v>
      </c>
      <c r="K35" s="8">
        <v>10</v>
      </c>
      <c r="L35" s="9">
        <f t="shared" si="29"/>
        <v>-0.45000000000000007</v>
      </c>
      <c r="M35" s="9">
        <f t="shared" si="6"/>
        <v>1.6140012391568974</v>
      </c>
      <c r="N35" s="9">
        <f t="shared" si="6"/>
        <v>1.710263137648707</v>
      </c>
      <c r="O35" s="17">
        <f t="shared" si="6"/>
        <v>1.8069310999592652</v>
      </c>
      <c r="P35" s="17">
        <f t="shared" si="6"/>
        <v>1.9039432764659772</v>
      </c>
      <c r="Q35" s="17">
        <f t="shared" si="6"/>
        <v>2.00124960961895</v>
      </c>
      <c r="R35" s="17">
        <f t="shared" si="6"/>
        <v>2.0988091861815357</v>
      </c>
      <c r="S35" s="17">
        <f t="shared" si="6"/>
        <v>2.1965882636488798</v>
      </c>
      <c r="T35" s="17">
        <f t="shared" si="6"/>
        <v>2.2945587811167529</v>
      </c>
      <c r="U35" s="17">
        <f t="shared" si="6"/>
        <v>2.3926972228010799</v>
      </c>
      <c r="V35" s="18">
        <f t="shared" si="6"/>
        <v>2.4909837414162301</v>
      </c>
      <c r="X35" s="44">
        <v>10</v>
      </c>
      <c r="Y35" s="23">
        <v>1</v>
      </c>
      <c r="Z35" s="23">
        <f t="shared" si="7"/>
        <v>0.75</v>
      </c>
      <c r="AA35" s="23">
        <f t="shared" si="8"/>
        <v>1.7797471730557688</v>
      </c>
      <c r="AB35" s="23">
        <f t="shared" si="9"/>
        <v>1.8674849396983098</v>
      </c>
      <c r="AC35" s="23">
        <f t="shared" si="10"/>
        <v>1.9563997546513852</v>
      </c>
      <c r="AD35" s="23">
        <f t="shared" si="11"/>
        <v>2.0463381929681126</v>
      </c>
      <c r="AE35" s="23">
        <f t="shared" si="12"/>
        <v>2.137171027316251</v>
      </c>
      <c r="AF35" s="23">
        <f t="shared" si="13"/>
        <v>2.228788908802267</v>
      </c>
      <c r="AG35" s="23">
        <f t="shared" si="14"/>
        <v>2.3210988776870325</v>
      </c>
      <c r="AH35" s="23">
        <f t="shared" si="15"/>
        <v>2.4140215409146619</v>
      </c>
      <c r="AI35" s="23">
        <f t="shared" si="16"/>
        <v>2.507488783623967</v>
      </c>
      <c r="AJ35" s="24">
        <f t="shared" si="17"/>
        <v>2.6014419078657127</v>
      </c>
      <c r="AL35" s="44">
        <v>1</v>
      </c>
      <c r="AM35" s="23">
        <f t="shared" si="18"/>
        <v>0.75</v>
      </c>
      <c r="AN35" s="23">
        <f t="shared" si="19"/>
        <v>5.3692946227939586</v>
      </c>
      <c r="AO35" s="23">
        <f t="shared" si="20"/>
        <v>4.6995868820176527</v>
      </c>
      <c r="AP35" s="23">
        <f t="shared" si="21"/>
        <v>4.1159116580581534</v>
      </c>
      <c r="AQ35" s="23">
        <f t="shared" si="22"/>
        <v>3.6088137071025796</v>
      </c>
      <c r="AR35" s="23">
        <f t="shared" si="23"/>
        <v>3.1689143686243222</v>
      </c>
      <c r="AS35" s="23">
        <f t="shared" si="24"/>
        <v>2.7874442204117575</v>
      </c>
      <c r="AT35" s="23">
        <f t="shared" si="25"/>
        <v>2.4564843839636761</v>
      </c>
      <c r="AU35" s="23">
        <f t="shared" si="26"/>
        <v>2.1690386911730446</v>
      </c>
      <c r="AV35" s="23">
        <f t="shared" si="27"/>
        <v>1.9190128309098999</v>
      </c>
      <c r="AW35" s="24">
        <f t="shared" si="28"/>
        <v>1.7011465743930043</v>
      </c>
      <c r="FV35" s="2"/>
      <c r="FW35" s="2"/>
    </row>
    <row r="36" spans="1:179">
      <c r="G36" s="10"/>
      <c r="H36" s="10"/>
      <c r="K36" s="7"/>
      <c r="L36" s="7"/>
      <c r="M36" s="7"/>
      <c r="N36" s="7"/>
      <c r="O36" s="13"/>
      <c r="P36" s="13"/>
      <c r="Q36" s="13"/>
      <c r="R36" s="13"/>
      <c r="S36" s="13"/>
      <c r="T36" s="13"/>
      <c r="U36" s="13"/>
      <c r="V36" s="13"/>
      <c r="FV36" s="2"/>
      <c r="FW36" s="2"/>
    </row>
    <row r="37" spans="1:179" ht="30">
      <c r="G37" s="10"/>
      <c r="H37" s="10"/>
      <c r="K37" s="4" t="s">
        <v>18</v>
      </c>
      <c r="L37" s="5" t="s">
        <v>17</v>
      </c>
      <c r="M37" s="5">
        <v>1</v>
      </c>
      <c r="N37" s="5">
        <v>2</v>
      </c>
      <c r="O37" s="11">
        <v>3</v>
      </c>
      <c r="P37" s="11">
        <v>4</v>
      </c>
      <c r="Q37" s="11">
        <v>5</v>
      </c>
      <c r="R37" s="11">
        <v>6</v>
      </c>
      <c r="S37" s="11">
        <v>7</v>
      </c>
      <c r="T37" s="11">
        <v>8</v>
      </c>
      <c r="U37" s="11">
        <v>9</v>
      </c>
      <c r="V37" s="12">
        <v>10</v>
      </c>
      <c r="FV37" s="2"/>
      <c r="FW37" s="2"/>
    </row>
    <row r="38" spans="1:179">
      <c r="G38" s="10"/>
      <c r="H38" s="10"/>
      <c r="K38" s="6"/>
      <c r="L38" s="7" t="s">
        <v>125</v>
      </c>
      <c r="M38" s="7">
        <f t="shared" ref="M38:V38" si="30">$E$7+($B$17/2+$B$17*(M37-1))</f>
        <v>1.55</v>
      </c>
      <c r="N38" s="7">
        <f t="shared" si="30"/>
        <v>1.65</v>
      </c>
      <c r="O38" s="7">
        <f t="shared" si="30"/>
        <v>1.75</v>
      </c>
      <c r="P38" s="7">
        <f t="shared" si="30"/>
        <v>1.85</v>
      </c>
      <c r="Q38" s="7">
        <f t="shared" si="30"/>
        <v>1.95</v>
      </c>
      <c r="R38" s="7">
        <f t="shared" si="30"/>
        <v>2.0499999999999998</v>
      </c>
      <c r="S38" s="7">
        <f t="shared" si="30"/>
        <v>2.1500000000000004</v>
      </c>
      <c r="T38" s="7">
        <f t="shared" si="30"/>
        <v>2.25</v>
      </c>
      <c r="U38" s="7">
        <f t="shared" si="30"/>
        <v>2.35</v>
      </c>
      <c r="V38" s="7">
        <f t="shared" si="30"/>
        <v>2.4500000000000002</v>
      </c>
      <c r="FV38" s="2"/>
      <c r="FW38" s="2"/>
    </row>
    <row r="39" spans="1:179">
      <c r="G39" s="10"/>
      <c r="H39" s="10"/>
      <c r="K39" s="6" t="s">
        <v>19</v>
      </c>
      <c r="L39" s="7" t="s">
        <v>126</v>
      </c>
      <c r="M39" s="7"/>
      <c r="N39" s="7"/>
      <c r="O39" s="13"/>
      <c r="P39" s="13"/>
      <c r="Q39" s="15"/>
      <c r="R39" s="15"/>
      <c r="S39" s="15"/>
      <c r="T39" s="15"/>
      <c r="U39" s="15"/>
      <c r="V39" s="16"/>
      <c r="AA39" s="2" t="s">
        <v>35</v>
      </c>
      <c r="AB39" s="2" t="s">
        <v>36</v>
      </c>
      <c r="AC39" s="2" t="s">
        <v>37</v>
      </c>
      <c r="AD39" s="2" t="s">
        <v>38</v>
      </c>
      <c r="AE39" s="2" t="s">
        <v>39</v>
      </c>
      <c r="AF39" s="2" t="s">
        <v>40</v>
      </c>
      <c r="AG39" s="2" t="s">
        <v>41</v>
      </c>
      <c r="AH39" s="2" t="s">
        <v>42</v>
      </c>
      <c r="AI39" s="2" t="s">
        <v>43</v>
      </c>
      <c r="AJ39" s="2" t="s">
        <v>44</v>
      </c>
      <c r="AX39" s="2" t="s">
        <v>129</v>
      </c>
      <c r="AY39" s="2">
        <f>SUM(AN40:AW49)</f>
        <v>324.74259536570668</v>
      </c>
      <c r="FV39" s="2"/>
      <c r="FW39" s="2"/>
    </row>
    <row r="40" spans="1:179">
      <c r="G40" s="10"/>
      <c r="H40" s="10"/>
      <c r="K40" s="6">
        <v>1</v>
      </c>
      <c r="L40" s="7">
        <f>$B$9/2-($B$18/2+$B$18*(K40-1))</f>
        <v>0.45</v>
      </c>
      <c r="M40" s="7">
        <f t="shared" ref="M40:V49" si="31">SQRT(M$24^2+$L40^2)</f>
        <v>1.6140012391568974</v>
      </c>
      <c r="N40" s="7">
        <f t="shared" si="31"/>
        <v>1.710263137648707</v>
      </c>
      <c r="O40" s="13">
        <f t="shared" si="31"/>
        <v>1.8069310999592652</v>
      </c>
      <c r="P40" s="13">
        <f t="shared" si="31"/>
        <v>1.9039432764659772</v>
      </c>
      <c r="Q40" s="13">
        <f t="shared" si="31"/>
        <v>2.00124960961895</v>
      </c>
      <c r="R40" s="13">
        <f t="shared" si="31"/>
        <v>2.0988091861815357</v>
      </c>
      <c r="S40" s="13">
        <f t="shared" si="31"/>
        <v>2.1965882636488798</v>
      </c>
      <c r="T40" s="13">
        <f t="shared" si="31"/>
        <v>2.2945587811167529</v>
      </c>
      <c r="U40" s="13">
        <f t="shared" si="31"/>
        <v>2.3926972228010799</v>
      </c>
      <c r="V40" s="14">
        <f t="shared" si="31"/>
        <v>2.4909837414162301</v>
      </c>
      <c r="X40" s="55">
        <v>1</v>
      </c>
      <c r="Y40" s="25">
        <v>2</v>
      </c>
      <c r="Z40" s="25">
        <f>Y40*$B$19</f>
        <v>1.5</v>
      </c>
      <c r="AA40" s="25">
        <f>SQRT($Z40^2+M40^2)</f>
        <v>2.2034064536530704</v>
      </c>
      <c r="AB40" s="25">
        <f t="shared" ref="AB40:AB49" si="32">SQRT($Z40^2+N40^2)</f>
        <v>2.2748626332154651</v>
      </c>
      <c r="AC40" s="25">
        <f t="shared" ref="AC40:AC49" si="33">SQRT($Z40^2+O40^2)</f>
        <v>2.3484037131634756</v>
      </c>
      <c r="AD40" s="25">
        <f t="shared" ref="AD40:AD49" si="34">SQRT($Z40^2+P40^2)</f>
        <v>2.4238399287081647</v>
      </c>
      <c r="AE40" s="25">
        <f t="shared" ref="AE40:AE49" si="35">SQRT($Z40^2+Q40^2)</f>
        <v>2.5009998000799598</v>
      </c>
      <c r="AF40" s="25">
        <f t="shared" ref="AF40:AF49" si="36">SQRT($Z40^2+R40^2)</f>
        <v>2.5797286679028861</v>
      </c>
      <c r="AG40" s="25">
        <f t="shared" ref="AG40:AG49" si="37">SQRT($Z40^2+S40^2)</f>
        <v>2.6598872156540776</v>
      </c>
      <c r="AH40" s="25">
        <f t="shared" ref="AH40:AH49" si="38">SQRT($Z40^2+T40^2)</f>
        <v>2.7413500323745597</v>
      </c>
      <c r="AI40" s="25">
        <f t="shared" ref="AI40:AI49" si="39">SQRT($Z40^2+U40^2)</f>
        <v>2.824004249288588</v>
      </c>
      <c r="AJ40" s="20">
        <f t="shared" ref="AJ40:AJ49" si="40">SQRT($Z40^2+V26^2)</f>
        <v>2.9077482697097423</v>
      </c>
      <c r="AL40" s="55">
        <v>2</v>
      </c>
      <c r="AM40" s="25">
        <f>AL40*$B$19</f>
        <v>1.5</v>
      </c>
      <c r="AN40" s="25">
        <f t="shared" ref="AN40:AN49" si="41">$B$20/(2*PI())*(3*M40^2*$AM40/AA40^5-(1-2*$B$11)/(AA40*(AA40+$AM40)))*(M$38/M40)</f>
        <v>3.9100265656971729</v>
      </c>
      <c r="AO40" s="25">
        <f t="shared" ref="AO40:AO49" si="42">$B$20/(2*PI())*(3*N40^2*$AM40/AB40^5-(1-2*$B$11)/(AB40*(AB40+$AM40)))*(N$38/N40)</f>
        <v>3.7662051191088541</v>
      </c>
      <c r="AP40" s="25">
        <f t="shared" ref="AP40:AP49" si="43">$B$20/(2*PI())*(3*O40^2*$AM40/AC40^5-(1-2*$B$11)/(AC40*(AC40+$AM40)))*(O$38/O40)</f>
        <v>3.6011648308139699</v>
      </c>
      <c r="AQ40" s="25">
        <f t="shared" ref="AQ40:AQ49" si="44">$B$20/(2*PI())*(3*P40^2*$AM40/AD40^5-(1-2*$B$11)/(AD40*(AD40+$AM40)))*(P$38/P40)</f>
        <v>3.4228945798886228</v>
      </c>
      <c r="AR40" s="25">
        <f t="shared" ref="AR40:AR49" si="45">$B$20/(2*PI())*(3*Q40^2*$AM40/AE40^5-(1-2*$B$11)/(AE40*(AE40+$AM40)))*(Q$38/Q40)</f>
        <v>3.237796073373953</v>
      </c>
      <c r="AS40" s="25">
        <f t="shared" ref="AS40:AS49" si="46">$B$20/(2*PI())*(3*R40^2*$AM40/AF40^5-(1-2*$B$11)/(AF40*(AF40+$AM40)))*(R$38/R40)</f>
        <v>3.0508475429221145</v>
      </c>
      <c r="AT40" s="25">
        <f t="shared" ref="AT40:AT49" si="47">$B$20/(2*PI())*(3*S40^2*$AM40/AG40^5-(1-2*$B$11)/(AG40*(AG40+$AM40)))*(S$38/S40)</f>
        <v>2.8658052545277397</v>
      </c>
      <c r="AU40" s="25">
        <f t="shared" ref="AU40:AU49" si="48">$B$20/(2*PI())*(3*T40^2*$AM40/AH40^5-(1-2*$B$11)/(AH40*(AH40+$AM40)))*(T$38/T40)</f>
        <v>2.6854105558917589</v>
      </c>
      <c r="AV40" s="25">
        <f t="shared" ref="AV40:AV49" si="49">$B$20/(2*PI())*(3*U40^2*$AM40/AI40^5-(1-2*$B$11)/(AI40*(AI40+$AM40)))*(U$38/U40)</f>
        <v>2.5115838931213288</v>
      </c>
      <c r="AW40" s="20">
        <f t="shared" ref="AW40:AW49" si="50">$B$20/(2*PI())*(3*V40^2*$AM40/AJ40^5-(1-2*$B$11)/(AJ40*(AJ40+$AM40)))*(V$38/V40)</f>
        <v>2.3455965794116493</v>
      </c>
      <c r="FV40" s="2"/>
      <c r="FW40" s="2"/>
    </row>
    <row r="41" spans="1:179">
      <c r="G41" s="10"/>
      <c r="H41" s="10"/>
      <c r="K41" s="6">
        <v>2</v>
      </c>
      <c r="L41" s="7">
        <f t="shared" ref="L41:L49" si="51">$B$9/2-($B$18/2+$B$18*(K41-1))</f>
        <v>0.35</v>
      </c>
      <c r="M41" s="7">
        <f t="shared" si="31"/>
        <v>1.5890248582070705</v>
      </c>
      <c r="N41" s="7">
        <f t="shared" si="31"/>
        <v>1.6867127793432999</v>
      </c>
      <c r="O41" s="13">
        <f t="shared" si="31"/>
        <v>1.7846568297574747</v>
      </c>
      <c r="P41" s="13">
        <f t="shared" si="31"/>
        <v>1.8828170383762732</v>
      </c>
      <c r="Q41" s="13">
        <f t="shared" si="31"/>
        <v>1.9811612756158949</v>
      </c>
      <c r="R41" s="13">
        <f t="shared" si="31"/>
        <v>2.0796634343085421</v>
      </c>
      <c r="S41" s="13">
        <f t="shared" si="31"/>
        <v>2.1783020910791966</v>
      </c>
      <c r="T41" s="13">
        <f t="shared" si="31"/>
        <v>2.2770595073471398</v>
      </c>
      <c r="U41" s="13">
        <f t="shared" si="31"/>
        <v>2.3759208741033446</v>
      </c>
      <c r="V41" s="14">
        <f t="shared" si="31"/>
        <v>2.4748737341529163</v>
      </c>
      <c r="X41" s="43">
        <v>2</v>
      </c>
      <c r="Y41" s="15">
        <v>2</v>
      </c>
      <c r="Z41" s="15">
        <f t="shared" ref="Z41:Z49" si="52">Y41*$B$19</f>
        <v>1.5</v>
      </c>
      <c r="AA41" s="15">
        <f t="shared" ref="AA41:AA49" si="53">SQRT($Z41^2+M41^2)</f>
        <v>2.1851773383412159</v>
      </c>
      <c r="AB41" s="15">
        <f t="shared" si="32"/>
        <v>2.2572106680591419</v>
      </c>
      <c r="AC41" s="15">
        <f t="shared" si="33"/>
        <v>2.3313086453749534</v>
      </c>
      <c r="AD41" s="15">
        <f t="shared" si="34"/>
        <v>2.4072806234421447</v>
      </c>
      <c r="AE41" s="15">
        <f t="shared" si="35"/>
        <v>2.4849547279578355</v>
      </c>
      <c r="AF41" s="15">
        <f t="shared" si="36"/>
        <v>2.5641762809916169</v>
      </c>
      <c r="AG41" s="15">
        <f t="shared" si="37"/>
        <v>2.6448062310876388</v>
      </c>
      <c r="AH41" s="15">
        <f t="shared" si="38"/>
        <v>2.7267196408871959</v>
      </c>
      <c r="AI41" s="15">
        <f t="shared" si="39"/>
        <v>2.8098042636454235</v>
      </c>
      <c r="AJ41" s="16">
        <f t="shared" si="40"/>
        <v>2.8939592256975564</v>
      </c>
      <c r="AL41" s="43">
        <v>2</v>
      </c>
      <c r="AM41" s="15">
        <f t="shared" ref="AM41:AM49" si="54">AL41*$B$19</f>
        <v>1.5</v>
      </c>
      <c r="AN41" s="15">
        <f t="shared" si="41"/>
        <v>4.0101531390389669</v>
      </c>
      <c r="AO41" s="15">
        <f t="shared" si="42"/>
        <v>3.8607775972100145</v>
      </c>
      <c r="AP41" s="15">
        <f t="shared" si="43"/>
        <v>3.6890761705333905</v>
      </c>
      <c r="AQ41" s="15">
        <f t="shared" si="44"/>
        <v>3.5036367452870643</v>
      </c>
      <c r="AR41" s="15">
        <f t="shared" si="45"/>
        <v>3.3112805075063001</v>
      </c>
      <c r="AS41" s="15">
        <f t="shared" si="46"/>
        <v>3.1172658703532345</v>
      </c>
      <c r="AT41" s="15">
        <f t="shared" si="47"/>
        <v>2.9255250186504838</v>
      </c>
      <c r="AU41" s="15">
        <f t="shared" si="48"/>
        <v>2.7388996477284984</v>
      </c>
      <c r="AV41" s="15">
        <f t="shared" si="49"/>
        <v>2.5593574734375433</v>
      </c>
      <c r="AW41" s="16">
        <f t="shared" si="50"/>
        <v>2.388181051692158</v>
      </c>
      <c r="FV41" s="2"/>
      <c r="FW41" s="2"/>
    </row>
    <row r="42" spans="1:179">
      <c r="G42" s="10"/>
      <c r="H42" s="10"/>
      <c r="K42" s="6">
        <v>3</v>
      </c>
      <c r="L42" s="7">
        <f t="shared" si="51"/>
        <v>0.25</v>
      </c>
      <c r="M42" s="7">
        <f t="shared" si="31"/>
        <v>1.5700318468107584</v>
      </c>
      <c r="N42" s="7">
        <f t="shared" si="31"/>
        <v>1.6688319268278635</v>
      </c>
      <c r="O42" s="13">
        <f t="shared" si="31"/>
        <v>1.7677669529663689</v>
      </c>
      <c r="P42" s="13">
        <f t="shared" si="31"/>
        <v>1.8668154702594471</v>
      </c>
      <c r="Q42" s="13">
        <f t="shared" si="31"/>
        <v>1.9659603251337499</v>
      </c>
      <c r="R42" s="13">
        <f t="shared" si="31"/>
        <v>2.0651876428063383</v>
      </c>
      <c r="S42" s="13">
        <f t="shared" si="31"/>
        <v>2.1644860821913365</v>
      </c>
      <c r="T42" s="13">
        <f t="shared" si="31"/>
        <v>2.2638462845343543</v>
      </c>
      <c r="U42" s="13">
        <f t="shared" si="31"/>
        <v>2.363260459619295</v>
      </c>
      <c r="V42" s="14">
        <f t="shared" si="31"/>
        <v>2.4627220712049507</v>
      </c>
      <c r="X42" s="43">
        <v>3</v>
      </c>
      <c r="Y42" s="15">
        <v>2</v>
      </c>
      <c r="Z42" s="15">
        <f t="shared" si="52"/>
        <v>1.5</v>
      </c>
      <c r="AA42" s="15">
        <f t="shared" si="53"/>
        <v>2.1714050750608465</v>
      </c>
      <c r="AB42" s="15">
        <f t="shared" si="32"/>
        <v>2.2438805672316877</v>
      </c>
      <c r="AC42" s="15">
        <f t="shared" si="33"/>
        <v>2.318404623873926</v>
      </c>
      <c r="AD42" s="15">
        <f t="shared" si="34"/>
        <v>2.3947860029656094</v>
      </c>
      <c r="AE42" s="15">
        <f t="shared" si="35"/>
        <v>2.4728526037756473</v>
      </c>
      <c r="AF42" s="15">
        <f t="shared" si="36"/>
        <v>2.5524498036200436</v>
      </c>
      <c r="AG42" s="15">
        <f t="shared" si="37"/>
        <v>2.6334388164527387</v>
      </c>
      <c r="AH42" s="15">
        <f t="shared" si="38"/>
        <v>2.7156951228000539</v>
      </c>
      <c r="AI42" s="15">
        <f t="shared" si="39"/>
        <v>2.7991070004556815</v>
      </c>
      <c r="AJ42" s="16">
        <f t="shared" si="40"/>
        <v>2.8835741710592431</v>
      </c>
      <c r="AL42" s="43">
        <v>2</v>
      </c>
      <c r="AM42" s="15">
        <f t="shared" si="54"/>
        <v>1.5</v>
      </c>
      <c r="AN42" s="15">
        <f t="shared" si="41"/>
        <v>4.087149615044587</v>
      </c>
      <c r="AO42" s="15">
        <f t="shared" si="42"/>
        <v>3.9336260466829791</v>
      </c>
      <c r="AP42" s="15">
        <f t="shared" si="43"/>
        <v>3.7568353134897556</v>
      </c>
      <c r="AQ42" s="15">
        <f t="shared" si="44"/>
        <v>3.565867506243328</v>
      </c>
      <c r="AR42" s="15">
        <f t="shared" si="45"/>
        <v>3.3678920857226253</v>
      </c>
      <c r="AS42" s="15">
        <f t="shared" si="46"/>
        <v>3.1683981249795878</v>
      </c>
      <c r="AT42" s="15">
        <f t="shared" si="47"/>
        <v>2.9714615416455539</v>
      </c>
      <c r="AU42" s="15">
        <f t="shared" si="48"/>
        <v>2.7800054409457711</v>
      </c>
      <c r="AV42" s="15">
        <f t="shared" si="49"/>
        <v>2.5960356028342657</v>
      </c>
      <c r="AW42" s="16">
        <f t="shared" si="50"/>
        <v>2.4208434967282932</v>
      </c>
      <c r="FV42" s="2"/>
      <c r="FW42" s="2"/>
    </row>
    <row r="43" spans="1:179">
      <c r="G43" s="10"/>
      <c r="H43" s="10"/>
      <c r="K43" s="6">
        <v>4</v>
      </c>
      <c r="L43" s="7">
        <f t="shared" si="51"/>
        <v>0.14999999999999997</v>
      </c>
      <c r="M43" s="7">
        <f t="shared" si="31"/>
        <v>1.5572411502397439</v>
      </c>
      <c r="N43" s="7">
        <f t="shared" si="31"/>
        <v>1.656804152578089</v>
      </c>
      <c r="O43" s="13">
        <f t="shared" si="31"/>
        <v>1.7564168070250297</v>
      </c>
      <c r="P43" s="13">
        <f t="shared" si="31"/>
        <v>1.8560711193270587</v>
      </c>
      <c r="Q43" s="13">
        <f t="shared" si="31"/>
        <v>1.9557607215607946</v>
      </c>
      <c r="R43" s="13">
        <f t="shared" si="31"/>
        <v>2.0554804791094465</v>
      </c>
      <c r="S43" s="13">
        <f t="shared" si="31"/>
        <v>2.155226206225231</v>
      </c>
      <c r="T43" s="13">
        <f t="shared" si="31"/>
        <v>2.2549944567559361</v>
      </c>
      <c r="U43" s="13">
        <f t="shared" si="31"/>
        <v>2.3547823678633235</v>
      </c>
      <c r="V43" s="14">
        <f t="shared" si="31"/>
        <v>2.4545875417267156</v>
      </c>
      <c r="X43" s="43">
        <v>4</v>
      </c>
      <c r="Y43" s="15">
        <v>2</v>
      </c>
      <c r="Z43" s="15">
        <f t="shared" si="52"/>
        <v>1.5</v>
      </c>
      <c r="AA43" s="15">
        <f t="shared" si="53"/>
        <v>2.1621748310439655</v>
      </c>
      <c r="AB43" s="15">
        <f t="shared" si="32"/>
        <v>2.2349496638627007</v>
      </c>
      <c r="AC43" s="15">
        <f t="shared" si="33"/>
        <v>2.3097618924902195</v>
      </c>
      <c r="AD43" s="15">
        <f t="shared" si="34"/>
        <v>2.3864199127563448</v>
      </c>
      <c r="AE43" s="15">
        <f t="shared" si="35"/>
        <v>2.4647515087732477</v>
      </c>
      <c r="AF43" s="15">
        <f t="shared" si="36"/>
        <v>2.5446021299998942</v>
      </c>
      <c r="AG43" s="15">
        <f t="shared" si="37"/>
        <v>2.625833201100177</v>
      </c>
      <c r="AH43" s="15">
        <f t="shared" si="38"/>
        <v>2.7083205127901682</v>
      </c>
      <c r="AI43" s="15">
        <f t="shared" si="39"/>
        <v>2.7919527216627436</v>
      </c>
      <c r="AJ43" s="16">
        <f t="shared" si="40"/>
        <v>2.8766299727285052</v>
      </c>
      <c r="AL43" s="43">
        <v>2</v>
      </c>
      <c r="AM43" s="15">
        <f t="shared" si="54"/>
        <v>1.5</v>
      </c>
      <c r="AN43" s="15">
        <f t="shared" si="41"/>
        <v>4.1393869346955903</v>
      </c>
      <c r="AO43" s="15">
        <f t="shared" si="42"/>
        <v>3.9831192422227253</v>
      </c>
      <c r="AP43" s="15">
        <f t="shared" si="43"/>
        <v>3.8028963954036366</v>
      </c>
      <c r="AQ43" s="15">
        <f t="shared" si="44"/>
        <v>3.6081719503719962</v>
      </c>
      <c r="AR43" s="15">
        <f t="shared" si="45"/>
        <v>3.4063656165449809</v>
      </c>
      <c r="AS43" s="15">
        <f t="shared" si="46"/>
        <v>3.2031311844559864</v>
      </c>
      <c r="AT43" s="15">
        <f t="shared" si="47"/>
        <v>3.0026466604996656</v>
      </c>
      <c r="AU43" s="15">
        <f t="shared" si="48"/>
        <v>2.8078926940072177</v>
      </c>
      <c r="AV43" s="15">
        <f t="shared" si="49"/>
        <v>2.6209018487556306</v>
      </c>
      <c r="AW43" s="16">
        <f t="shared" si="50"/>
        <v>2.4429718293593363</v>
      </c>
      <c r="FV43" s="2"/>
      <c r="FW43" s="2"/>
    </row>
    <row r="44" spans="1:179">
      <c r="G44" s="10"/>
      <c r="H44" s="10"/>
      <c r="K44" s="6">
        <v>5</v>
      </c>
      <c r="L44" s="7">
        <f t="shared" si="51"/>
        <v>4.9999999999999989E-2</v>
      </c>
      <c r="M44" s="7">
        <f t="shared" si="31"/>
        <v>1.5508062419270823</v>
      </c>
      <c r="N44" s="7">
        <f t="shared" si="31"/>
        <v>1.6507574019219178</v>
      </c>
      <c r="O44" s="13">
        <f t="shared" si="31"/>
        <v>1.7507141400011597</v>
      </c>
      <c r="P44" s="13">
        <f t="shared" si="31"/>
        <v>1.8506755523321747</v>
      </c>
      <c r="Q44" s="13">
        <f t="shared" si="31"/>
        <v>1.9506409203131159</v>
      </c>
      <c r="R44" s="13">
        <f t="shared" si="31"/>
        <v>2.0506096654409878</v>
      </c>
      <c r="S44" s="13">
        <f t="shared" si="31"/>
        <v>2.1505813167606571</v>
      </c>
      <c r="T44" s="13">
        <f t="shared" si="31"/>
        <v>2.2505554869853799</v>
      </c>
      <c r="U44" s="13">
        <f t="shared" si="31"/>
        <v>2.350531854708632</v>
      </c>
      <c r="V44" s="14">
        <f t="shared" si="31"/>
        <v>2.4505101509685696</v>
      </c>
      <c r="X44" s="43">
        <v>5</v>
      </c>
      <c r="Y44" s="15">
        <v>2</v>
      </c>
      <c r="Z44" s="15">
        <f t="shared" si="52"/>
        <v>1.5</v>
      </c>
      <c r="AA44" s="15">
        <f t="shared" si="53"/>
        <v>2.1575449010391416</v>
      </c>
      <c r="AB44" s="15">
        <f t="shared" si="32"/>
        <v>2.2304708023195463</v>
      </c>
      <c r="AC44" s="15">
        <f t="shared" si="33"/>
        <v>2.3054283766797008</v>
      </c>
      <c r="AD44" s="15">
        <f t="shared" si="34"/>
        <v>2.382225849914319</v>
      </c>
      <c r="AE44" s="15">
        <f t="shared" si="35"/>
        <v>2.4606909598728564</v>
      </c>
      <c r="AF44" s="15">
        <f t="shared" si="36"/>
        <v>2.5406692031825</v>
      </c>
      <c r="AG44" s="15">
        <f t="shared" si="37"/>
        <v>2.6220221204253793</v>
      </c>
      <c r="AH44" s="15">
        <f t="shared" si="38"/>
        <v>2.7046256672597044</v>
      </c>
      <c r="AI44" s="15">
        <f t="shared" si="39"/>
        <v>2.7883686987197374</v>
      </c>
      <c r="AJ44" s="16">
        <f t="shared" si="40"/>
        <v>2.8731515797117289</v>
      </c>
      <c r="AL44" s="43">
        <v>2</v>
      </c>
      <c r="AM44" s="15">
        <f t="shared" si="54"/>
        <v>1.5</v>
      </c>
      <c r="AN44" s="15">
        <f t="shared" si="41"/>
        <v>4.1657770374030978</v>
      </c>
      <c r="AO44" s="15">
        <f t="shared" si="42"/>
        <v>4.0081466067646483</v>
      </c>
      <c r="AP44" s="15">
        <f t="shared" si="43"/>
        <v>3.8261971714065788</v>
      </c>
      <c r="AQ44" s="15">
        <f t="shared" si="44"/>
        <v>3.6295733985074503</v>
      </c>
      <c r="AR44" s="15">
        <f t="shared" si="45"/>
        <v>3.4258259974433045</v>
      </c>
      <c r="AS44" s="15">
        <f t="shared" si="46"/>
        <v>3.2206946615650538</v>
      </c>
      <c r="AT44" s="15">
        <f t="shared" si="47"/>
        <v>3.0184104660689361</v>
      </c>
      <c r="AU44" s="15">
        <f t="shared" si="48"/>
        <v>2.8219838894917575</v>
      </c>
      <c r="AV44" s="15">
        <f t="shared" si="49"/>
        <v>2.6334613463240326</v>
      </c>
      <c r="AW44" s="16">
        <f t="shared" si="50"/>
        <v>2.4541437610501733</v>
      </c>
      <c r="FV44" s="2"/>
      <c r="FW44" s="2"/>
    </row>
    <row r="45" spans="1:179">
      <c r="G45" s="10"/>
      <c r="H45" s="10"/>
      <c r="K45" s="6">
        <v>6</v>
      </c>
      <c r="L45" s="7">
        <f t="shared" si="51"/>
        <v>-5.0000000000000044E-2</v>
      </c>
      <c r="M45" s="7">
        <f t="shared" si="31"/>
        <v>1.5508062419270823</v>
      </c>
      <c r="N45" s="7">
        <f t="shared" si="31"/>
        <v>1.6507574019219178</v>
      </c>
      <c r="O45" s="13">
        <f t="shared" si="31"/>
        <v>1.7507141400011597</v>
      </c>
      <c r="P45" s="13">
        <f t="shared" si="31"/>
        <v>1.8506755523321747</v>
      </c>
      <c r="Q45" s="13">
        <f t="shared" si="31"/>
        <v>1.9506409203131159</v>
      </c>
      <c r="R45" s="13">
        <f t="shared" si="31"/>
        <v>2.0506096654409878</v>
      </c>
      <c r="S45" s="13">
        <f t="shared" si="31"/>
        <v>2.1505813167606571</v>
      </c>
      <c r="T45" s="13">
        <f t="shared" si="31"/>
        <v>2.2505554869853799</v>
      </c>
      <c r="U45" s="13">
        <f t="shared" si="31"/>
        <v>2.350531854708632</v>
      </c>
      <c r="V45" s="14">
        <f t="shared" si="31"/>
        <v>2.4505101509685696</v>
      </c>
      <c r="X45" s="43">
        <v>6</v>
      </c>
      <c r="Y45" s="15">
        <v>2</v>
      </c>
      <c r="Z45" s="15">
        <f t="shared" si="52"/>
        <v>1.5</v>
      </c>
      <c r="AA45" s="15">
        <f t="shared" si="53"/>
        <v>2.1575449010391416</v>
      </c>
      <c r="AB45" s="15">
        <f t="shared" si="32"/>
        <v>2.2304708023195463</v>
      </c>
      <c r="AC45" s="15">
        <f t="shared" si="33"/>
        <v>2.3054283766797008</v>
      </c>
      <c r="AD45" s="15">
        <f t="shared" si="34"/>
        <v>2.382225849914319</v>
      </c>
      <c r="AE45" s="15">
        <f t="shared" si="35"/>
        <v>2.4606909598728564</v>
      </c>
      <c r="AF45" s="15">
        <f t="shared" si="36"/>
        <v>2.5406692031825</v>
      </c>
      <c r="AG45" s="15">
        <f t="shared" si="37"/>
        <v>2.6220221204253793</v>
      </c>
      <c r="AH45" s="15">
        <f t="shared" si="38"/>
        <v>2.7046256672597044</v>
      </c>
      <c r="AI45" s="15">
        <f t="shared" si="39"/>
        <v>2.7883686987197374</v>
      </c>
      <c r="AJ45" s="16">
        <f t="shared" si="40"/>
        <v>2.8731515797117289</v>
      </c>
      <c r="AL45" s="43">
        <v>2</v>
      </c>
      <c r="AM45" s="15">
        <f t="shared" si="54"/>
        <v>1.5</v>
      </c>
      <c r="AN45" s="15">
        <f t="shared" si="41"/>
        <v>4.1657770374030978</v>
      </c>
      <c r="AO45" s="15">
        <f t="shared" si="42"/>
        <v>4.0081466067646483</v>
      </c>
      <c r="AP45" s="15">
        <f t="shared" si="43"/>
        <v>3.8261971714065788</v>
      </c>
      <c r="AQ45" s="15">
        <f t="shared" si="44"/>
        <v>3.6295733985074503</v>
      </c>
      <c r="AR45" s="15">
        <f t="shared" si="45"/>
        <v>3.4258259974433045</v>
      </c>
      <c r="AS45" s="15">
        <f t="shared" si="46"/>
        <v>3.2206946615650538</v>
      </c>
      <c r="AT45" s="15">
        <f t="shared" si="47"/>
        <v>3.0184104660689361</v>
      </c>
      <c r="AU45" s="15">
        <f t="shared" si="48"/>
        <v>2.8219838894917575</v>
      </c>
      <c r="AV45" s="15">
        <f t="shared" si="49"/>
        <v>2.6334613463240326</v>
      </c>
      <c r="AW45" s="16">
        <f t="shared" si="50"/>
        <v>2.4541437610501733</v>
      </c>
      <c r="FV45" s="2"/>
      <c r="FW45" s="2"/>
    </row>
    <row r="46" spans="1:179">
      <c r="G46" s="10"/>
      <c r="H46" s="10"/>
      <c r="K46" s="6">
        <v>7</v>
      </c>
      <c r="L46" s="7">
        <f t="shared" si="51"/>
        <v>-0.15000000000000013</v>
      </c>
      <c r="M46" s="7">
        <f t="shared" si="31"/>
        <v>1.5572411502397439</v>
      </c>
      <c r="N46" s="7">
        <f t="shared" si="31"/>
        <v>1.656804152578089</v>
      </c>
      <c r="O46" s="13">
        <f t="shared" si="31"/>
        <v>1.7564168070250297</v>
      </c>
      <c r="P46" s="13">
        <f t="shared" si="31"/>
        <v>1.8560711193270587</v>
      </c>
      <c r="Q46" s="13">
        <f t="shared" si="31"/>
        <v>1.9557607215607946</v>
      </c>
      <c r="R46" s="13">
        <f t="shared" si="31"/>
        <v>2.0554804791094465</v>
      </c>
      <c r="S46" s="13">
        <f t="shared" si="31"/>
        <v>2.155226206225231</v>
      </c>
      <c r="T46" s="13">
        <f t="shared" si="31"/>
        <v>2.2549944567559361</v>
      </c>
      <c r="U46" s="13">
        <f t="shared" si="31"/>
        <v>2.3547823678633235</v>
      </c>
      <c r="V46" s="14">
        <f t="shared" si="31"/>
        <v>2.4545875417267156</v>
      </c>
      <c r="X46" s="43">
        <v>7</v>
      </c>
      <c r="Y46" s="15">
        <v>2</v>
      </c>
      <c r="Z46" s="15">
        <f t="shared" si="52"/>
        <v>1.5</v>
      </c>
      <c r="AA46" s="15">
        <f t="shared" si="53"/>
        <v>2.1621748310439655</v>
      </c>
      <c r="AB46" s="15">
        <f t="shared" si="32"/>
        <v>2.2349496638627007</v>
      </c>
      <c r="AC46" s="15">
        <f t="shared" si="33"/>
        <v>2.3097618924902195</v>
      </c>
      <c r="AD46" s="15">
        <f t="shared" si="34"/>
        <v>2.3864199127563448</v>
      </c>
      <c r="AE46" s="15">
        <f t="shared" si="35"/>
        <v>2.4647515087732477</v>
      </c>
      <c r="AF46" s="15">
        <f t="shared" si="36"/>
        <v>2.5446021299998942</v>
      </c>
      <c r="AG46" s="15">
        <f t="shared" si="37"/>
        <v>2.625833201100177</v>
      </c>
      <c r="AH46" s="15">
        <f t="shared" si="38"/>
        <v>2.7083205127901682</v>
      </c>
      <c r="AI46" s="15">
        <f t="shared" si="39"/>
        <v>2.7919527216627436</v>
      </c>
      <c r="AJ46" s="16">
        <f t="shared" si="40"/>
        <v>2.8766299727285052</v>
      </c>
      <c r="AL46" s="43">
        <v>2</v>
      </c>
      <c r="AM46" s="15">
        <f t="shared" si="54"/>
        <v>1.5</v>
      </c>
      <c r="AN46" s="15">
        <f t="shared" si="41"/>
        <v>4.1393869346955903</v>
      </c>
      <c r="AO46" s="15">
        <f t="shared" si="42"/>
        <v>3.9831192422227253</v>
      </c>
      <c r="AP46" s="15">
        <f t="shared" si="43"/>
        <v>3.8028963954036366</v>
      </c>
      <c r="AQ46" s="15">
        <f t="shared" si="44"/>
        <v>3.6081719503719962</v>
      </c>
      <c r="AR46" s="15">
        <f t="shared" si="45"/>
        <v>3.4063656165449809</v>
      </c>
      <c r="AS46" s="15">
        <f t="shared" si="46"/>
        <v>3.2031311844559864</v>
      </c>
      <c r="AT46" s="15">
        <f t="shared" si="47"/>
        <v>3.0026466604996656</v>
      </c>
      <c r="AU46" s="15">
        <f t="shared" si="48"/>
        <v>2.8078926940072177</v>
      </c>
      <c r="AV46" s="15">
        <f t="shared" si="49"/>
        <v>2.6209018487556306</v>
      </c>
      <c r="AW46" s="16">
        <f t="shared" si="50"/>
        <v>2.4429718293593363</v>
      </c>
      <c r="FV46" s="2"/>
      <c r="FW46" s="2"/>
    </row>
    <row r="47" spans="1:179" ht="11.25" customHeight="1">
      <c r="G47" s="10"/>
      <c r="H47" s="10"/>
      <c r="K47" s="6">
        <v>8</v>
      </c>
      <c r="L47" s="7">
        <f t="shared" si="51"/>
        <v>-0.25000000000000011</v>
      </c>
      <c r="M47" s="7">
        <f t="shared" si="31"/>
        <v>1.5700318468107584</v>
      </c>
      <c r="N47" s="7">
        <f t="shared" si="31"/>
        <v>1.6688319268278635</v>
      </c>
      <c r="O47" s="13">
        <f t="shared" si="31"/>
        <v>1.7677669529663689</v>
      </c>
      <c r="P47" s="13">
        <f t="shared" si="31"/>
        <v>1.8668154702594471</v>
      </c>
      <c r="Q47" s="13">
        <f t="shared" si="31"/>
        <v>1.9659603251337499</v>
      </c>
      <c r="R47" s="13">
        <f t="shared" si="31"/>
        <v>2.0651876428063383</v>
      </c>
      <c r="S47" s="13">
        <f t="shared" si="31"/>
        <v>2.1644860821913365</v>
      </c>
      <c r="T47" s="13">
        <f t="shared" si="31"/>
        <v>2.2638462845343543</v>
      </c>
      <c r="U47" s="13">
        <f t="shared" si="31"/>
        <v>2.363260459619295</v>
      </c>
      <c r="V47" s="14">
        <f t="shared" si="31"/>
        <v>2.4627220712049507</v>
      </c>
      <c r="X47" s="43">
        <v>8</v>
      </c>
      <c r="Y47" s="15">
        <v>2</v>
      </c>
      <c r="Z47" s="15">
        <f t="shared" si="52"/>
        <v>1.5</v>
      </c>
      <c r="AA47" s="15">
        <f t="shared" si="53"/>
        <v>2.1714050750608465</v>
      </c>
      <c r="AB47" s="15">
        <f t="shared" si="32"/>
        <v>2.2438805672316877</v>
      </c>
      <c r="AC47" s="15">
        <f t="shared" si="33"/>
        <v>2.318404623873926</v>
      </c>
      <c r="AD47" s="15">
        <f t="shared" si="34"/>
        <v>2.3947860029656094</v>
      </c>
      <c r="AE47" s="15">
        <f t="shared" si="35"/>
        <v>2.4728526037756473</v>
      </c>
      <c r="AF47" s="15">
        <f t="shared" si="36"/>
        <v>2.5524498036200436</v>
      </c>
      <c r="AG47" s="15">
        <f t="shared" si="37"/>
        <v>2.6334388164527387</v>
      </c>
      <c r="AH47" s="15">
        <f t="shared" si="38"/>
        <v>2.7156951228000539</v>
      </c>
      <c r="AI47" s="15">
        <f t="shared" si="39"/>
        <v>2.7991070004556815</v>
      </c>
      <c r="AJ47" s="16">
        <f t="shared" si="40"/>
        <v>2.8835741710592431</v>
      </c>
      <c r="AL47" s="43">
        <v>2</v>
      </c>
      <c r="AM47" s="15">
        <f t="shared" si="54"/>
        <v>1.5</v>
      </c>
      <c r="AN47" s="15">
        <f t="shared" si="41"/>
        <v>4.087149615044587</v>
      </c>
      <c r="AO47" s="15">
        <f t="shared" si="42"/>
        <v>3.9336260466829791</v>
      </c>
      <c r="AP47" s="15">
        <f t="shared" si="43"/>
        <v>3.7568353134897556</v>
      </c>
      <c r="AQ47" s="15">
        <f t="shared" si="44"/>
        <v>3.565867506243328</v>
      </c>
      <c r="AR47" s="15">
        <f t="shared" si="45"/>
        <v>3.3678920857226253</v>
      </c>
      <c r="AS47" s="15">
        <f t="shared" si="46"/>
        <v>3.1683981249795878</v>
      </c>
      <c r="AT47" s="15">
        <f t="shared" si="47"/>
        <v>2.9714615416455539</v>
      </c>
      <c r="AU47" s="15">
        <f t="shared" si="48"/>
        <v>2.7800054409457711</v>
      </c>
      <c r="AV47" s="15">
        <f t="shared" si="49"/>
        <v>2.5960356028342657</v>
      </c>
      <c r="AW47" s="16">
        <f t="shared" si="50"/>
        <v>2.4208434967282932</v>
      </c>
      <c r="FV47" s="2"/>
      <c r="FW47" s="2"/>
    </row>
    <row r="48" spans="1:179">
      <c r="G48" s="10"/>
      <c r="H48" s="10"/>
      <c r="K48" s="6">
        <v>9</v>
      </c>
      <c r="L48" s="7">
        <f t="shared" si="51"/>
        <v>-0.35000000000000009</v>
      </c>
      <c r="M48" s="7">
        <f t="shared" si="31"/>
        <v>1.5890248582070705</v>
      </c>
      <c r="N48" s="7">
        <f t="shared" si="31"/>
        <v>1.6867127793432999</v>
      </c>
      <c r="O48" s="13">
        <f t="shared" si="31"/>
        <v>1.7846568297574747</v>
      </c>
      <c r="P48" s="13">
        <f t="shared" si="31"/>
        <v>1.8828170383762732</v>
      </c>
      <c r="Q48" s="13">
        <f t="shared" si="31"/>
        <v>1.9811612756158949</v>
      </c>
      <c r="R48" s="13">
        <f t="shared" si="31"/>
        <v>2.0796634343085421</v>
      </c>
      <c r="S48" s="13">
        <f t="shared" si="31"/>
        <v>2.178302091079197</v>
      </c>
      <c r="T48" s="13">
        <f t="shared" si="31"/>
        <v>2.2770595073471402</v>
      </c>
      <c r="U48" s="13">
        <f t="shared" si="31"/>
        <v>2.3759208741033446</v>
      </c>
      <c r="V48" s="14">
        <f t="shared" si="31"/>
        <v>2.4748737341529168</v>
      </c>
      <c r="X48" s="43">
        <v>9</v>
      </c>
      <c r="Y48" s="15">
        <v>2</v>
      </c>
      <c r="Z48" s="15">
        <f t="shared" si="52"/>
        <v>1.5</v>
      </c>
      <c r="AA48" s="15">
        <f t="shared" si="53"/>
        <v>2.1851773383412159</v>
      </c>
      <c r="AB48" s="15">
        <f t="shared" si="32"/>
        <v>2.2572106680591419</v>
      </c>
      <c r="AC48" s="15">
        <f t="shared" si="33"/>
        <v>2.3313086453749534</v>
      </c>
      <c r="AD48" s="15">
        <f t="shared" si="34"/>
        <v>2.4072806234421447</v>
      </c>
      <c r="AE48" s="15">
        <f t="shared" si="35"/>
        <v>2.4849547279578355</v>
      </c>
      <c r="AF48" s="15">
        <f t="shared" si="36"/>
        <v>2.5641762809916169</v>
      </c>
      <c r="AG48" s="15">
        <f t="shared" si="37"/>
        <v>2.6448062310876392</v>
      </c>
      <c r="AH48" s="15">
        <f t="shared" si="38"/>
        <v>2.7267196408871963</v>
      </c>
      <c r="AI48" s="15">
        <f t="shared" si="39"/>
        <v>2.8098042636454235</v>
      </c>
      <c r="AJ48" s="16">
        <f t="shared" si="40"/>
        <v>2.8939592256975568</v>
      </c>
      <c r="AL48" s="43">
        <v>2</v>
      </c>
      <c r="AM48" s="15">
        <f t="shared" si="54"/>
        <v>1.5</v>
      </c>
      <c r="AN48" s="15">
        <f t="shared" si="41"/>
        <v>4.0101531390389669</v>
      </c>
      <c r="AO48" s="15">
        <f t="shared" si="42"/>
        <v>3.8607775972100145</v>
      </c>
      <c r="AP48" s="15">
        <f t="shared" si="43"/>
        <v>3.6890761705333905</v>
      </c>
      <c r="AQ48" s="15">
        <f t="shared" si="44"/>
        <v>3.5036367452870643</v>
      </c>
      <c r="AR48" s="15">
        <f t="shared" si="45"/>
        <v>3.3112805075063001</v>
      </c>
      <c r="AS48" s="15">
        <f t="shared" si="46"/>
        <v>3.1172658703532345</v>
      </c>
      <c r="AT48" s="15">
        <f t="shared" si="47"/>
        <v>2.9255250186504833</v>
      </c>
      <c r="AU48" s="15">
        <f t="shared" si="48"/>
        <v>2.7388996477284975</v>
      </c>
      <c r="AV48" s="15">
        <f t="shared" si="49"/>
        <v>2.5593574734375433</v>
      </c>
      <c r="AW48" s="16">
        <f t="shared" si="50"/>
        <v>2.3881810516921576</v>
      </c>
      <c r="FV48" s="2"/>
      <c r="FW48" s="2"/>
    </row>
    <row r="49" spans="7:179">
      <c r="G49" s="10"/>
      <c r="H49" s="10"/>
      <c r="K49" s="8">
        <v>10</v>
      </c>
      <c r="L49" s="9">
        <f t="shared" si="51"/>
        <v>-0.45000000000000007</v>
      </c>
      <c r="M49" s="9">
        <f t="shared" si="31"/>
        <v>1.6140012391568974</v>
      </c>
      <c r="N49" s="9">
        <f t="shared" si="31"/>
        <v>1.710263137648707</v>
      </c>
      <c r="O49" s="17">
        <f t="shared" si="31"/>
        <v>1.8069310999592652</v>
      </c>
      <c r="P49" s="17">
        <f t="shared" si="31"/>
        <v>1.9039432764659772</v>
      </c>
      <c r="Q49" s="17">
        <f t="shared" si="31"/>
        <v>2.00124960961895</v>
      </c>
      <c r="R49" s="17">
        <f t="shared" si="31"/>
        <v>2.0988091861815357</v>
      </c>
      <c r="S49" s="17">
        <f t="shared" si="31"/>
        <v>2.1965882636488798</v>
      </c>
      <c r="T49" s="17">
        <f t="shared" si="31"/>
        <v>2.2945587811167529</v>
      </c>
      <c r="U49" s="17">
        <f t="shared" si="31"/>
        <v>2.3926972228010799</v>
      </c>
      <c r="V49" s="18">
        <f t="shared" si="31"/>
        <v>2.4909837414162301</v>
      </c>
      <c r="X49" s="44">
        <v>10</v>
      </c>
      <c r="Y49" s="23">
        <v>2</v>
      </c>
      <c r="Z49" s="23">
        <f t="shared" si="52"/>
        <v>1.5</v>
      </c>
      <c r="AA49" s="23">
        <f t="shared" si="53"/>
        <v>2.2034064536530704</v>
      </c>
      <c r="AB49" s="23">
        <f t="shared" si="32"/>
        <v>2.2748626332154651</v>
      </c>
      <c r="AC49" s="23">
        <f t="shared" si="33"/>
        <v>2.3484037131634756</v>
      </c>
      <c r="AD49" s="23">
        <f t="shared" si="34"/>
        <v>2.4238399287081647</v>
      </c>
      <c r="AE49" s="23">
        <f t="shared" si="35"/>
        <v>2.5009998000799598</v>
      </c>
      <c r="AF49" s="23">
        <f t="shared" si="36"/>
        <v>2.5797286679028861</v>
      </c>
      <c r="AG49" s="23">
        <f t="shared" si="37"/>
        <v>2.6598872156540776</v>
      </c>
      <c r="AH49" s="23">
        <f t="shared" si="38"/>
        <v>2.7413500323745597</v>
      </c>
      <c r="AI49" s="23">
        <f t="shared" si="39"/>
        <v>2.824004249288588</v>
      </c>
      <c r="AJ49" s="24">
        <f t="shared" si="40"/>
        <v>2.9077482697097423</v>
      </c>
      <c r="AL49" s="44">
        <v>2</v>
      </c>
      <c r="AM49" s="23">
        <f t="shared" si="54"/>
        <v>1.5</v>
      </c>
      <c r="AN49" s="23">
        <f t="shared" si="41"/>
        <v>3.9100265656971729</v>
      </c>
      <c r="AO49" s="23">
        <f t="shared" si="42"/>
        <v>3.7662051191088541</v>
      </c>
      <c r="AP49" s="23">
        <f t="shared" si="43"/>
        <v>3.6011648308139699</v>
      </c>
      <c r="AQ49" s="23">
        <f t="shared" si="44"/>
        <v>3.4228945798886228</v>
      </c>
      <c r="AR49" s="23">
        <f t="shared" si="45"/>
        <v>3.237796073373953</v>
      </c>
      <c r="AS49" s="23">
        <f t="shared" si="46"/>
        <v>3.0508475429221145</v>
      </c>
      <c r="AT49" s="23">
        <f t="shared" si="47"/>
        <v>2.8658052545277397</v>
      </c>
      <c r="AU49" s="23">
        <f t="shared" si="48"/>
        <v>2.6854105558917589</v>
      </c>
      <c r="AV49" s="23">
        <f t="shared" si="49"/>
        <v>2.5115838931213288</v>
      </c>
      <c r="AW49" s="24">
        <f t="shared" si="50"/>
        <v>2.3455965794116493</v>
      </c>
      <c r="FV49" s="2"/>
      <c r="FW49" s="2"/>
    </row>
    <row r="50" spans="7:179">
      <c r="G50" s="10"/>
      <c r="H50" s="10"/>
      <c r="K50" s="1"/>
      <c r="L50" s="1"/>
      <c r="M50" s="1"/>
      <c r="N50" s="1"/>
      <c r="O50" s="10"/>
      <c r="P50" s="10"/>
      <c r="FV50" s="2"/>
      <c r="FW50" s="2"/>
    </row>
    <row r="51" spans="7:179" ht="30">
      <c r="G51" s="10"/>
      <c r="H51" s="10"/>
      <c r="K51" s="4" t="s">
        <v>18</v>
      </c>
      <c r="L51" s="5" t="s">
        <v>17</v>
      </c>
      <c r="M51" s="5">
        <v>1</v>
      </c>
      <c r="N51" s="5">
        <v>2</v>
      </c>
      <c r="O51" s="11">
        <v>3</v>
      </c>
      <c r="P51" s="11">
        <v>4</v>
      </c>
      <c r="Q51" s="11">
        <v>5</v>
      </c>
      <c r="R51" s="11">
        <v>6</v>
      </c>
      <c r="S51" s="11">
        <v>7</v>
      </c>
      <c r="T51" s="11">
        <v>8</v>
      </c>
      <c r="U51" s="11">
        <v>9</v>
      </c>
      <c r="V51" s="12">
        <v>10</v>
      </c>
      <c r="FV51" s="2"/>
      <c r="FW51" s="2"/>
    </row>
    <row r="52" spans="7:179">
      <c r="G52" s="10"/>
      <c r="H52" s="10"/>
      <c r="K52" s="6"/>
      <c r="L52" s="7" t="s">
        <v>125</v>
      </c>
      <c r="M52" s="7">
        <f t="shared" ref="M52:V52" si="55">$E$7+($B$17/2+$B$17*(M51-1))</f>
        <v>1.55</v>
      </c>
      <c r="N52" s="7">
        <f t="shared" si="55"/>
        <v>1.65</v>
      </c>
      <c r="O52" s="7">
        <f t="shared" si="55"/>
        <v>1.75</v>
      </c>
      <c r="P52" s="7">
        <f t="shared" si="55"/>
        <v>1.85</v>
      </c>
      <c r="Q52" s="7">
        <f t="shared" si="55"/>
        <v>1.95</v>
      </c>
      <c r="R52" s="7">
        <f t="shared" si="55"/>
        <v>2.0499999999999998</v>
      </c>
      <c r="S52" s="7">
        <f t="shared" si="55"/>
        <v>2.1500000000000004</v>
      </c>
      <c r="T52" s="7">
        <f t="shared" si="55"/>
        <v>2.25</v>
      </c>
      <c r="U52" s="7">
        <f t="shared" si="55"/>
        <v>2.35</v>
      </c>
      <c r="V52" s="7">
        <f t="shared" si="55"/>
        <v>2.4500000000000002</v>
      </c>
      <c r="FV52" s="2"/>
      <c r="FW52" s="2"/>
    </row>
    <row r="53" spans="7:179">
      <c r="G53" s="10"/>
      <c r="H53" s="10"/>
      <c r="K53" s="6" t="s">
        <v>19</v>
      </c>
      <c r="L53" s="7" t="s">
        <v>126</v>
      </c>
      <c r="M53" s="7"/>
      <c r="N53" s="7"/>
      <c r="O53" s="13"/>
      <c r="P53" s="13"/>
      <c r="Q53" s="15"/>
      <c r="R53" s="15"/>
      <c r="S53" s="15"/>
      <c r="T53" s="15"/>
      <c r="U53" s="15"/>
      <c r="V53" s="16"/>
      <c r="AA53" s="2" t="s">
        <v>45</v>
      </c>
      <c r="AB53" s="2" t="s">
        <v>46</v>
      </c>
      <c r="AC53" s="2" t="s">
        <v>47</v>
      </c>
      <c r="AD53" s="2" t="s">
        <v>48</v>
      </c>
      <c r="AE53" s="2" t="s">
        <v>49</v>
      </c>
      <c r="AF53" s="2" t="s">
        <v>50</v>
      </c>
      <c r="AG53" s="2" t="s">
        <v>51</v>
      </c>
      <c r="AH53" s="2" t="s">
        <v>52</v>
      </c>
      <c r="AI53" s="2" t="s">
        <v>53</v>
      </c>
      <c r="AJ53" s="2" t="s">
        <v>54</v>
      </c>
      <c r="AX53" s="2" t="s">
        <v>129</v>
      </c>
      <c r="AY53" s="2">
        <f>SUM(AN54:AW63)</f>
        <v>186.41322908268435</v>
      </c>
      <c r="FV53" s="2"/>
      <c r="FW53" s="2"/>
    </row>
    <row r="54" spans="7:179">
      <c r="G54" s="10"/>
      <c r="H54" s="10"/>
      <c r="K54" s="6">
        <v>1</v>
      </c>
      <c r="L54" s="7">
        <f>$B$9/2-($B$18/2+$B$18*(K54-1))</f>
        <v>0.45</v>
      </c>
      <c r="M54" s="7">
        <f t="shared" ref="M54:V63" si="56">SQRT(M$24^2+$L54^2)</f>
        <v>1.6140012391568974</v>
      </c>
      <c r="N54" s="7">
        <f t="shared" si="56"/>
        <v>1.710263137648707</v>
      </c>
      <c r="O54" s="13">
        <f t="shared" si="56"/>
        <v>1.8069310999592652</v>
      </c>
      <c r="P54" s="13">
        <f t="shared" si="56"/>
        <v>1.9039432764659772</v>
      </c>
      <c r="Q54" s="13">
        <f t="shared" si="56"/>
        <v>2.00124960961895</v>
      </c>
      <c r="R54" s="13">
        <f t="shared" si="56"/>
        <v>2.0988091861815357</v>
      </c>
      <c r="S54" s="13">
        <f t="shared" si="56"/>
        <v>2.1965882636488798</v>
      </c>
      <c r="T54" s="13">
        <f t="shared" si="56"/>
        <v>2.2945587811167529</v>
      </c>
      <c r="U54" s="13">
        <f t="shared" si="56"/>
        <v>2.3926972228010799</v>
      </c>
      <c r="V54" s="14">
        <f t="shared" si="56"/>
        <v>2.4909837414162301</v>
      </c>
      <c r="X54" s="55">
        <v>1</v>
      </c>
      <c r="Y54" s="25">
        <v>3</v>
      </c>
      <c r="Z54" s="25">
        <f>Y54*$B$19</f>
        <v>2.25</v>
      </c>
      <c r="AA54" s="25">
        <f t="shared" ref="AA54:AA63" si="57">SQRT($Z54^2+M54^2)</f>
        <v>2.7690250992000776</v>
      </c>
      <c r="AB54" s="25">
        <f t="shared" ref="AB54:AB63" si="58">SQRT($Z54^2+N54^2)</f>
        <v>2.8262165522125158</v>
      </c>
      <c r="AC54" s="25">
        <f t="shared" ref="AC54:AC63" si="59">SQRT($Z54^2+O54^2)</f>
        <v>2.8857408061016154</v>
      </c>
      <c r="AD54" s="25">
        <f t="shared" ref="AD54:AD63" si="60">SQRT($Z54^2+P54^2)</f>
        <v>2.9474565306378988</v>
      </c>
      <c r="AE54" s="25">
        <f t="shared" ref="AE54:AE63" si="61">SQRT($Z54^2+Q54^2)</f>
        <v>3.0112289849827096</v>
      </c>
      <c r="AF54" s="25">
        <f t="shared" ref="AF54:AF63" si="62">SQRT($Z54^2+R54^2)</f>
        <v>3.0769302884530876</v>
      </c>
      <c r="AG54" s="25">
        <f t="shared" ref="AG54:AG63" si="63">SQRT($Z54^2+S54^2)</f>
        <v>3.1444395367060252</v>
      </c>
      <c r="AH54" s="25">
        <f t="shared" ref="AH54:AH63" si="64">SQRT($Z54^2+T54^2)</f>
        <v>3.2136427928442823</v>
      </c>
      <c r="AI54" s="25">
        <f t="shared" ref="AI54:AI63" si="65">SQRT($Z54^2+U54^2)</f>
        <v>3.2844329799829985</v>
      </c>
      <c r="AJ54" s="20">
        <f t="shared" ref="AJ54:AJ63" si="66">SQRT($Z54^2+V26^2)</f>
        <v>3.3567096984994098</v>
      </c>
      <c r="AL54" s="55">
        <v>3</v>
      </c>
      <c r="AM54" s="25">
        <f>AL54*$B$19</f>
        <v>2.25</v>
      </c>
      <c r="AN54" s="25">
        <f t="shared" ref="AN54:AN63" si="67">$B$20/(2*PI())*(3*M54^2*$AM54/AA54^5-(1-2*$B$11)/(AA54*(AA54+$AM54)))*(M$52/M54)</f>
        <v>1.7750222818266213</v>
      </c>
      <c r="AO54" s="25">
        <f t="shared" ref="AO54:AO63" si="68">$B$20/(2*PI())*(3*N54^2*$AM54/AB54^5-(1-2*$B$11)/(AB54*(AB54+$AM54)))*(N$52/N54)</f>
        <v>1.8311861742806523</v>
      </c>
      <c r="AP54" s="25">
        <f t="shared" ref="AP54:AP63" si="69">$B$20/(2*PI())*(3*O54^2*$AM54/AC54^5-(1-2*$B$11)/(AC54*(AC54+$AM54)))*(O$52/O54)</f>
        <v>1.8680340602225585</v>
      </c>
      <c r="AQ54" s="25">
        <f t="shared" ref="AQ54:AQ63" si="70">$B$20/(2*PI())*(3*P54^2*$AM54/AD54^5-(1-2*$B$11)/(AD54*(AD54+$AM54)))*(P$52/P54)</f>
        <v>1.8873527900768459</v>
      </c>
      <c r="AR54" s="25">
        <f t="shared" ref="AR54:AR63" si="71">$B$20/(2*PI())*(3*Q54^2*$AM54/AE54^5-(1-2*$B$11)/(AE54*(AE54+$AM54)))*(Q$52/Q54)</f>
        <v>1.8911134288847784</v>
      </c>
      <c r="AS54" s="25">
        <f t="shared" ref="AS54:AS63" si="72">$B$20/(2*PI())*(3*R54^2*$AM54/AF54^5-(1-2*$B$11)/(AF54*(AF54+$AM54)))*(R$52/R54)</f>
        <v>1.8813487642050908</v>
      </c>
      <c r="AT54" s="25">
        <f t="shared" ref="AT54:AT63" si="73">$B$20/(2*PI())*(3*S54^2*$AM54/AG54^5-(1-2*$B$11)/(AG54*(AG54+$AM54)))*(S$52/S54)</f>
        <v>1.8600610797890968</v>
      </c>
      <c r="AU54" s="25">
        <f t="shared" ref="AU54:AU63" si="74">$B$20/(2*PI())*(3*T54^2*$AM54/AH54^5-(1-2*$B$11)/(AH54*(AH54+$AM54)))*(T$52/T54)</f>
        <v>1.8291566511604826</v>
      </c>
      <c r="AV54" s="25">
        <f t="shared" ref="AV54:AV63" si="75">$B$20/(2*PI())*(3*U54^2*$AM54/AI54^5-(1-2*$B$11)/(AI54*(AI54+$AM54)))*(U$52/U54)</f>
        <v>1.7904026600814873</v>
      </c>
      <c r="AW54" s="20">
        <f t="shared" ref="AW54:AW63" si="76">$B$20/(2*PI())*(3*V54^2*$AM54/AJ54^5-(1-2*$B$11)/(AJ54*(AJ54+$AM54)))*(V$52/V54)</f>
        <v>1.7454020942885589</v>
      </c>
      <c r="FV54" s="2"/>
      <c r="FW54" s="2"/>
    </row>
    <row r="55" spans="7:179">
      <c r="G55" s="10"/>
      <c r="H55" s="10"/>
      <c r="K55" s="6">
        <v>2</v>
      </c>
      <c r="L55" s="7">
        <f t="shared" ref="L55:L63" si="77">$B$9/2-($B$18/2+$B$18*(K55-1))</f>
        <v>0.35</v>
      </c>
      <c r="M55" s="7">
        <f t="shared" si="56"/>
        <v>1.5890248582070705</v>
      </c>
      <c r="N55" s="7">
        <f t="shared" si="56"/>
        <v>1.6867127793432999</v>
      </c>
      <c r="O55" s="13">
        <f t="shared" si="56"/>
        <v>1.7846568297574747</v>
      </c>
      <c r="P55" s="13">
        <f t="shared" si="56"/>
        <v>1.8828170383762732</v>
      </c>
      <c r="Q55" s="13">
        <f t="shared" si="56"/>
        <v>1.9811612756158949</v>
      </c>
      <c r="R55" s="13">
        <f t="shared" si="56"/>
        <v>2.0796634343085421</v>
      </c>
      <c r="S55" s="13">
        <f t="shared" si="56"/>
        <v>2.1783020910791966</v>
      </c>
      <c r="T55" s="13">
        <f t="shared" si="56"/>
        <v>2.2770595073471398</v>
      </c>
      <c r="U55" s="13">
        <f t="shared" si="56"/>
        <v>2.3759208741033446</v>
      </c>
      <c r="V55" s="14">
        <f t="shared" si="56"/>
        <v>2.4748737341529163</v>
      </c>
      <c r="X55" s="43">
        <v>2</v>
      </c>
      <c r="Y55" s="15">
        <v>3</v>
      </c>
      <c r="Z55" s="15">
        <f t="shared" ref="Z55:Z63" si="78">Y55*$B$19</f>
        <v>2.25</v>
      </c>
      <c r="AA55" s="15">
        <f t="shared" si="57"/>
        <v>2.7545417041678641</v>
      </c>
      <c r="AB55" s="15">
        <f t="shared" si="58"/>
        <v>2.8120277381277732</v>
      </c>
      <c r="AC55" s="15">
        <f t="shared" si="59"/>
        <v>2.8718460961548757</v>
      </c>
      <c r="AD55" s="15">
        <f t="shared" si="60"/>
        <v>2.9338541204361204</v>
      </c>
      <c r="AE55" s="15">
        <f t="shared" si="61"/>
        <v>2.9979159427842537</v>
      </c>
      <c r="AF55" s="15">
        <f t="shared" si="62"/>
        <v>3.0639027399707057</v>
      </c>
      <c r="AG55" s="15">
        <f t="shared" si="63"/>
        <v>3.1316928329579197</v>
      </c>
      <c r="AH55" s="15">
        <f t="shared" si="64"/>
        <v>3.201171660501823</v>
      </c>
      <c r="AI55" s="15">
        <f t="shared" si="65"/>
        <v>3.2722316543912355</v>
      </c>
      <c r="AJ55" s="16">
        <f t="shared" si="66"/>
        <v>3.344772040064913</v>
      </c>
      <c r="AL55" s="43">
        <v>3</v>
      </c>
      <c r="AM55" s="15">
        <f t="shared" ref="AM55:AM63" si="79">AL55*$B$19</f>
        <v>2.25</v>
      </c>
      <c r="AN55" s="15">
        <f t="shared" si="67"/>
        <v>1.7870538910964902</v>
      </c>
      <c r="AO55" s="15">
        <f t="shared" si="68"/>
        <v>1.8466482342465187</v>
      </c>
      <c r="AP55" s="15">
        <f t="shared" si="69"/>
        <v>1.885973540808068</v>
      </c>
      <c r="AQ55" s="15">
        <f t="shared" si="70"/>
        <v>1.9069639103971594</v>
      </c>
      <c r="AR55" s="15">
        <f t="shared" si="71"/>
        <v>1.9117290035647543</v>
      </c>
      <c r="AS55" s="15">
        <f t="shared" si="72"/>
        <v>1.9024278257946323</v>
      </c>
      <c r="AT55" s="15">
        <f t="shared" si="73"/>
        <v>1.8811745248975607</v>
      </c>
      <c r="AU55" s="15">
        <f t="shared" si="74"/>
        <v>1.8499722499656035</v>
      </c>
      <c r="AV55" s="15">
        <f t="shared" si="75"/>
        <v>1.810670386079255</v>
      </c>
      <c r="AW55" s="16">
        <f t="shared" si="76"/>
        <v>1.7649404029802527</v>
      </c>
      <c r="FV55" s="2"/>
      <c r="FW55" s="2"/>
    </row>
    <row r="56" spans="7:179">
      <c r="G56" s="10"/>
      <c r="H56" s="10"/>
      <c r="K56" s="6">
        <v>3</v>
      </c>
      <c r="L56" s="7">
        <f t="shared" si="77"/>
        <v>0.25</v>
      </c>
      <c r="M56" s="7">
        <f t="shared" si="56"/>
        <v>1.5700318468107584</v>
      </c>
      <c r="N56" s="7">
        <f t="shared" si="56"/>
        <v>1.6688319268278635</v>
      </c>
      <c r="O56" s="13">
        <f t="shared" si="56"/>
        <v>1.7677669529663689</v>
      </c>
      <c r="P56" s="13">
        <f t="shared" si="56"/>
        <v>1.8668154702594471</v>
      </c>
      <c r="Q56" s="13">
        <f t="shared" si="56"/>
        <v>1.9659603251337499</v>
      </c>
      <c r="R56" s="13">
        <f t="shared" si="56"/>
        <v>2.0651876428063383</v>
      </c>
      <c r="S56" s="13">
        <f t="shared" si="56"/>
        <v>2.1644860821913365</v>
      </c>
      <c r="T56" s="13">
        <f t="shared" si="56"/>
        <v>2.2638462845343543</v>
      </c>
      <c r="U56" s="13">
        <f t="shared" si="56"/>
        <v>2.363260459619295</v>
      </c>
      <c r="V56" s="14">
        <f t="shared" si="56"/>
        <v>2.4627220712049507</v>
      </c>
      <c r="X56" s="43">
        <v>3</v>
      </c>
      <c r="Y56" s="15">
        <v>3</v>
      </c>
      <c r="Z56" s="15">
        <f t="shared" si="78"/>
        <v>2.25</v>
      </c>
      <c r="AA56" s="15">
        <f t="shared" si="57"/>
        <v>2.7436289836637897</v>
      </c>
      <c r="AB56" s="15">
        <f t="shared" si="58"/>
        <v>2.8013389655662881</v>
      </c>
      <c r="AC56" s="15">
        <f t="shared" si="59"/>
        <v>2.8613807855648994</v>
      </c>
      <c r="AD56" s="15">
        <f t="shared" si="60"/>
        <v>2.9236107812087435</v>
      </c>
      <c r="AE56" s="15">
        <f t="shared" si="61"/>
        <v>2.9878922336657321</v>
      </c>
      <c r="AF56" s="15">
        <f t="shared" si="62"/>
        <v>3.0540956108150903</v>
      </c>
      <c r="AG56" s="15">
        <f t="shared" si="63"/>
        <v>3.1220986531498331</v>
      </c>
      <c r="AH56" s="15">
        <f t="shared" si="64"/>
        <v>3.191786333700926</v>
      </c>
      <c r="AI56" s="15">
        <f t="shared" si="65"/>
        <v>3.2630507198019463</v>
      </c>
      <c r="AJ56" s="16">
        <f t="shared" si="66"/>
        <v>3.3357907608241861</v>
      </c>
      <c r="AL56" s="43">
        <v>3</v>
      </c>
      <c r="AM56" s="15">
        <f t="shared" si="79"/>
        <v>2.25</v>
      </c>
      <c r="AN56" s="15">
        <f t="shared" si="67"/>
        <v>1.7955066129101438</v>
      </c>
      <c r="AO56" s="15">
        <f t="shared" si="68"/>
        <v>1.8579061318875878</v>
      </c>
      <c r="AP56" s="15">
        <f t="shared" si="69"/>
        <v>1.8992599118333169</v>
      </c>
      <c r="AQ56" s="15">
        <f t="shared" si="70"/>
        <v>1.9216266386777994</v>
      </c>
      <c r="AR56" s="15">
        <f t="shared" si="71"/>
        <v>1.9272310991381523</v>
      </c>
      <c r="AS56" s="15">
        <f t="shared" si="72"/>
        <v>1.9183357900659703</v>
      </c>
      <c r="AT56" s="15">
        <f t="shared" si="73"/>
        <v>1.897145698694064</v>
      </c>
      <c r="AU56" s="15">
        <f t="shared" si="74"/>
        <v>1.8657420511434557</v>
      </c>
      <c r="AV56" s="15">
        <f t="shared" si="75"/>
        <v>1.8260400852941039</v>
      </c>
      <c r="AW56" s="16">
        <f t="shared" si="76"/>
        <v>1.7797658561010461</v>
      </c>
      <c r="FV56" s="2"/>
      <c r="FW56" s="2"/>
    </row>
    <row r="57" spans="7:179">
      <c r="K57" s="6">
        <v>4</v>
      </c>
      <c r="L57" s="7">
        <f t="shared" si="77"/>
        <v>0.14999999999999997</v>
      </c>
      <c r="M57" s="7">
        <f t="shared" si="56"/>
        <v>1.5572411502397439</v>
      </c>
      <c r="N57" s="7">
        <f t="shared" si="56"/>
        <v>1.656804152578089</v>
      </c>
      <c r="O57" s="13">
        <f t="shared" si="56"/>
        <v>1.7564168070250297</v>
      </c>
      <c r="P57" s="13">
        <f t="shared" si="56"/>
        <v>1.8560711193270587</v>
      </c>
      <c r="Q57" s="13">
        <f t="shared" si="56"/>
        <v>1.9557607215607946</v>
      </c>
      <c r="R57" s="13">
        <f t="shared" si="56"/>
        <v>2.0554804791094465</v>
      </c>
      <c r="S57" s="13">
        <f t="shared" si="56"/>
        <v>2.155226206225231</v>
      </c>
      <c r="T57" s="13">
        <f t="shared" si="56"/>
        <v>2.2549944567559361</v>
      </c>
      <c r="U57" s="13">
        <f t="shared" si="56"/>
        <v>2.3547823678633235</v>
      </c>
      <c r="V57" s="14">
        <f t="shared" si="56"/>
        <v>2.4545875417267156</v>
      </c>
      <c r="X57" s="43">
        <v>4</v>
      </c>
      <c r="Y57" s="15">
        <v>3</v>
      </c>
      <c r="Z57" s="15">
        <f t="shared" si="78"/>
        <v>2.25</v>
      </c>
      <c r="AA57" s="15">
        <f t="shared" si="57"/>
        <v>2.7363296585024255</v>
      </c>
      <c r="AB57" s="15">
        <f t="shared" si="58"/>
        <v>2.7941904015295735</v>
      </c>
      <c r="AC57" s="15">
        <f t="shared" si="59"/>
        <v>2.854382595238417</v>
      </c>
      <c r="AD57" s="15">
        <f t="shared" si="60"/>
        <v>2.916761903207048</v>
      </c>
      <c r="AE57" s="15">
        <f t="shared" si="61"/>
        <v>2.9811910371527683</v>
      </c>
      <c r="AF57" s="15">
        <f t="shared" si="62"/>
        <v>3.0475399915341552</v>
      </c>
      <c r="AG57" s="15">
        <f t="shared" si="63"/>
        <v>3.1156861202630797</v>
      </c>
      <c r="AH57" s="15">
        <f t="shared" si="64"/>
        <v>3.1855140872392949</v>
      </c>
      <c r="AI57" s="15">
        <f t="shared" si="65"/>
        <v>3.2569157188972517</v>
      </c>
      <c r="AJ57" s="16">
        <f t="shared" si="66"/>
        <v>3.329789783154486</v>
      </c>
      <c r="AL57" s="43">
        <v>3</v>
      </c>
      <c r="AM57" s="15">
        <f t="shared" si="79"/>
        <v>2.25</v>
      </c>
      <c r="AN57" s="15">
        <f t="shared" si="67"/>
        <v>1.8008405550579616</v>
      </c>
      <c r="AO57" s="15">
        <f t="shared" si="68"/>
        <v>1.8652304269733455</v>
      </c>
      <c r="AP57" s="15">
        <f t="shared" si="69"/>
        <v>1.9080243336066081</v>
      </c>
      <c r="AQ57" s="15">
        <f t="shared" si="70"/>
        <v>1.9313716481640393</v>
      </c>
      <c r="AR57" s="15">
        <f t="shared" si="71"/>
        <v>1.9375798415951873</v>
      </c>
      <c r="AS57" s="15">
        <f t="shared" si="72"/>
        <v>1.9289850331543226</v>
      </c>
      <c r="AT57" s="15">
        <f t="shared" si="73"/>
        <v>1.9078563738458814</v>
      </c>
      <c r="AU57" s="15">
        <f t="shared" si="74"/>
        <v>1.876329934694192</v>
      </c>
      <c r="AV57" s="15">
        <f t="shared" si="75"/>
        <v>1.8363670060907304</v>
      </c>
      <c r="AW57" s="16">
        <f t="shared" si="76"/>
        <v>1.7897316752281969</v>
      </c>
    </row>
    <row r="58" spans="7:179">
      <c r="K58" s="6">
        <v>5</v>
      </c>
      <c r="L58" s="7">
        <f t="shared" si="77"/>
        <v>4.9999999999999989E-2</v>
      </c>
      <c r="M58" s="7">
        <f t="shared" si="56"/>
        <v>1.5508062419270823</v>
      </c>
      <c r="N58" s="7">
        <f t="shared" si="56"/>
        <v>1.6507574019219178</v>
      </c>
      <c r="O58" s="13">
        <f t="shared" si="56"/>
        <v>1.7507141400011597</v>
      </c>
      <c r="P58" s="13">
        <f t="shared" si="56"/>
        <v>1.8506755523321747</v>
      </c>
      <c r="Q58" s="13">
        <f t="shared" si="56"/>
        <v>1.9506409203131159</v>
      </c>
      <c r="R58" s="13">
        <f t="shared" si="56"/>
        <v>2.0506096654409878</v>
      </c>
      <c r="S58" s="13">
        <f t="shared" si="56"/>
        <v>2.1505813167606571</v>
      </c>
      <c r="T58" s="13">
        <f t="shared" si="56"/>
        <v>2.2505554869853799</v>
      </c>
      <c r="U58" s="13">
        <f t="shared" si="56"/>
        <v>2.350531854708632</v>
      </c>
      <c r="V58" s="14">
        <f t="shared" si="56"/>
        <v>2.4505101509685696</v>
      </c>
      <c r="X58" s="43">
        <v>5</v>
      </c>
      <c r="Y58" s="15">
        <v>3</v>
      </c>
      <c r="Z58" s="15">
        <f t="shared" si="78"/>
        <v>2.25</v>
      </c>
      <c r="AA58" s="15">
        <f t="shared" si="57"/>
        <v>2.7326726843879419</v>
      </c>
      <c r="AB58" s="15">
        <f t="shared" si="58"/>
        <v>2.7906092524751651</v>
      </c>
      <c r="AC58" s="15">
        <f t="shared" si="59"/>
        <v>2.8508770580296865</v>
      </c>
      <c r="AD58" s="15">
        <f t="shared" si="60"/>
        <v>2.9133314263914429</v>
      </c>
      <c r="AE58" s="15">
        <f t="shared" si="61"/>
        <v>2.9778347838656192</v>
      </c>
      <c r="AF58" s="15">
        <f t="shared" si="62"/>
        <v>3.0442568879777543</v>
      </c>
      <c r="AG58" s="15">
        <f t="shared" si="63"/>
        <v>3.1124748994971836</v>
      </c>
      <c r="AH58" s="15">
        <f t="shared" si="64"/>
        <v>3.1823733281939126</v>
      </c>
      <c r="AI58" s="15">
        <f t="shared" si="65"/>
        <v>3.2538438807047894</v>
      </c>
      <c r="AJ58" s="16">
        <f t="shared" si="66"/>
        <v>3.3267852350279545</v>
      </c>
      <c r="AL58" s="43">
        <v>3</v>
      </c>
      <c r="AM58" s="15">
        <f t="shared" si="79"/>
        <v>2.25</v>
      </c>
      <c r="AN58" s="15">
        <f t="shared" si="67"/>
        <v>1.8034108576475336</v>
      </c>
      <c r="AO58" s="15">
        <f t="shared" si="68"/>
        <v>1.8688340559389818</v>
      </c>
      <c r="AP58" s="15">
        <f t="shared" si="69"/>
        <v>1.9123758036400798</v>
      </c>
      <c r="AQ58" s="15">
        <f t="shared" si="70"/>
        <v>1.9362333068190902</v>
      </c>
      <c r="AR58" s="15">
        <f t="shared" si="71"/>
        <v>1.9427572936926154</v>
      </c>
      <c r="AS58" s="15">
        <f t="shared" si="72"/>
        <v>1.9343221761588643</v>
      </c>
      <c r="AT58" s="15">
        <f t="shared" si="73"/>
        <v>1.9132303332387404</v>
      </c>
      <c r="AU58" s="15">
        <f t="shared" si="74"/>
        <v>1.8816461421241553</v>
      </c>
      <c r="AV58" s="15">
        <f t="shared" si="75"/>
        <v>1.8415545969133287</v>
      </c>
      <c r="AW58" s="16">
        <f t="shared" si="76"/>
        <v>1.7947393163662555</v>
      </c>
    </row>
    <row r="59" spans="7:179">
      <c r="K59" s="6">
        <v>6</v>
      </c>
      <c r="L59" s="7">
        <f t="shared" si="77"/>
        <v>-5.0000000000000044E-2</v>
      </c>
      <c r="M59" s="7">
        <f t="shared" si="56"/>
        <v>1.5508062419270823</v>
      </c>
      <c r="N59" s="7">
        <f t="shared" si="56"/>
        <v>1.6507574019219178</v>
      </c>
      <c r="O59" s="13">
        <f t="shared" si="56"/>
        <v>1.7507141400011597</v>
      </c>
      <c r="P59" s="13">
        <f t="shared" si="56"/>
        <v>1.8506755523321747</v>
      </c>
      <c r="Q59" s="13">
        <f t="shared" si="56"/>
        <v>1.9506409203131159</v>
      </c>
      <c r="R59" s="13">
        <f t="shared" si="56"/>
        <v>2.0506096654409878</v>
      </c>
      <c r="S59" s="13">
        <f t="shared" si="56"/>
        <v>2.1505813167606571</v>
      </c>
      <c r="T59" s="13">
        <f t="shared" si="56"/>
        <v>2.2505554869853799</v>
      </c>
      <c r="U59" s="13">
        <f t="shared" si="56"/>
        <v>2.350531854708632</v>
      </c>
      <c r="V59" s="14">
        <f t="shared" si="56"/>
        <v>2.4505101509685696</v>
      </c>
      <c r="X59" s="43">
        <v>6</v>
      </c>
      <c r="Y59" s="15">
        <v>3</v>
      </c>
      <c r="Z59" s="15">
        <f t="shared" si="78"/>
        <v>2.25</v>
      </c>
      <c r="AA59" s="15">
        <f t="shared" si="57"/>
        <v>2.7326726843879419</v>
      </c>
      <c r="AB59" s="15">
        <f t="shared" si="58"/>
        <v>2.7906092524751651</v>
      </c>
      <c r="AC59" s="15">
        <f t="shared" si="59"/>
        <v>2.8508770580296865</v>
      </c>
      <c r="AD59" s="15">
        <f t="shared" si="60"/>
        <v>2.9133314263914429</v>
      </c>
      <c r="AE59" s="15">
        <f t="shared" si="61"/>
        <v>2.9778347838656192</v>
      </c>
      <c r="AF59" s="15">
        <f t="shared" si="62"/>
        <v>3.0442568879777543</v>
      </c>
      <c r="AG59" s="15">
        <f t="shared" si="63"/>
        <v>3.1124748994971836</v>
      </c>
      <c r="AH59" s="15">
        <f t="shared" si="64"/>
        <v>3.1823733281939126</v>
      </c>
      <c r="AI59" s="15">
        <f t="shared" si="65"/>
        <v>3.2538438807047894</v>
      </c>
      <c r="AJ59" s="16">
        <f t="shared" si="66"/>
        <v>3.3267852350279545</v>
      </c>
      <c r="AL59" s="43">
        <v>3</v>
      </c>
      <c r="AM59" s="15">
        <f t="shared" si="79"/>
        <v>2.25</v>
      </c>
      <c r="AN59" s="15">
        <f t="shared" si="67"/>
        <v>1.8034108576475336</v>
      </c>
      <c r="AO59" s="15">
        <f t="shared" si="68"/>
        <v>1.8688340559389818</v>
      </c>
      <c r="AP59" s="15">
        <f t="shared" si="69"/>
        <v>1.9123758036400798</v>
      </c>
      <c r="AQ59" s="15">
        <f t="shared" si="70"/>
        <v>1.9362333068190902</v>
      </c>
      <c r="AR59" s="15">
        <f t="shared" si="71"/>
        <v>1.9427572936926154</v>
      </c>
      <c r="AS59" s="15">
        <f t="shared" si="72"/>
        <v>1.9343221761588643</v>
      </c>
      <c r="AT59" s="15">
        <f t="shared" si="73"/>
        <v>1.9132303332387404</v>
      </c>
      <c r="AU59" s="15">
        <f t="shared" si="74"/>
        <v>1.8816461421241553</v>
      </c>
      <c r="AV59" s="15">
        <f t="shared" si="75"/>
        <v>1.8415545969133287</v>
      </c>
      <c r="AW59" s="16">
        <f t="shared" si="76"/>
        <v>1.7947393163662555</v>
      </c>
    </row>
    <row r="60" spans="7:179">
      <c r="K60" s="6">
        <v>7</v>
      </c>
      <c r="L60" s="7">
        <f t="shared" si="77"/>
        <v>-0.15000000000000013</v>
      </c>
      <c r="M60" s="7">
        <f t="shared" si="56"/>
        <v>1.5572411502397439</v>
      </c>
      <c r="N60" s="7">
        <f t="shared" si="56"/>
        <v>1.656804152578089</v>
      </c>
      <c r="O60" s="13">
        <f t="shared" si="56"/>
        <v>1.7564168070250297</v>
      </c>
      <c r="P60" s="13">
        <f t="shared" si="56"/>
        <v>1.8560711193270587</v>
      </c>
      <c r="Q60" s="13">
        <f t="shared" si="56"/>
        <v>1.9557607215607946</v>
      </c>
      <c r="R60" s="13">
        <f t="shared" si="56"/>
        <v>2.0554804791094465</v>
      </c>
      <c r="S60" s="13">
        <f t="shared" si="56"/>
        <v>2.155226206225231</v>
      </c>
      <c r="T60" s="13">
        <f t="shared" si="56"/>
        <v>2.2549944567559361</v>
      </c>
      <c r="U60" s="13">
        <f t="shared" si="56"/>
        <v>2.3547823678633235</v>
      </c>
      <c r="V60" s="14">
        <f t="shared" si="56"/>
        <v>2.4545875417267156</v>
      </c>
      <c r="X60" s="43">
        <v>7</v>
      </c>
      <c r="Y60" s="15">
        <v>3</v>
      </c>
      <c r="Z60" s="15">
        <f t="shared" si="78"/>
        <v>2.25</v>
      </c>
      <c r="AA60" s="15">
        <f t="shared" si="57"/>
        <v>2.7363296585024255</v>
      </c>
      <c r="AB60" s="15">
        <f t="shared" si="58"/>
        <v>2.7941904015295735</v>
      </c>
      <c r="AC60" s="15">
        <f t="shared" si="59"/>
        <v>2.854382595238417</v>
      </c>
      <c r="AD60" s="15">
        <f t="shared" si="60"/>
        <v>2.916761903207048</v>
      </c>
      <c r="AE60" s="15">
        <f t="shared" si="61"/>
        <v>2.9811910371527683</v>
      </c>
      <c r="AF60" s="15">
        <f t="shared" si="62"/>
        <v>3.0475399915341552</v>
      </c>
      <c r="AG60" s="15">
        <f t="shared" si="63"/>
        <v>3.1156861202630797</v>
      </c>
      <c r="AH60" s="15">
        <f t="shared" si="64"/>
        <v>3.1855140872392949</v>
      </c>
      <c r="AI60" s="15">
        <f t="shared" si="65"/>
        <v>3.2569157188972517</v>
      </c>
      <c r="AJ60" s="16">
        <f t="shared" si="66"/>
        <v>3.329789783154486</v>
      </c>
      <c r="AL60" s="43">
        <v>3</v>
      </c>
      <c r="AM60" s="15">
        <f t="shared" si="79"/>
        <v>2.25</v>
      </c>
      <c r="AN60" s="15">
        <f t="shared" si="67"/>
        <v>1.8008405550579616</v>
      </c>
      <c r="AO60" s="15">
        <f t="shared" si="68"/>
        <v>1.8652304269733455</v>
      </c>
      <c r="AP60" s="15">
        <f t="shared" si="69"/>
        <v>1.9080243336066081</v>
      </c>
      <c r="AQ60" s="15">
        <f t="shared" si="70"/>
        <v>1.9313716481640393</v>
      </c>
      <c r="AR60" s="15">
        <f t="shared" si="71"/>
        <v>1.9375798415951873</v>
      </c>
      <c r="AS60" s="15">
        <f t="shared" si="72"/>
        <v>1.9289850331543226</v>
      </c>
      <c r="AT60" s="15">
        <f t="shared" si="73"/>
        <v>1.9078563738458814</v>
      </c>
      <c r="AU60" s="15">
        <f t="shared" si="74"/>
        <v>1.876329934694192</v>
      </c>
      <c r="AV60" s="15">
        <f t="shared" si="75"/>
        <v>1.8363670060907304</v>
      </c>
      <c r="AW60" s="16">
        <f t="shared" si="76"/>
        <v>1.7897316752281969</v>
      </c>
    </row>
    <row r="61" spans="7:179">
      <c r="K61" s="6">
        <v>8</v>
      </c>
      <c r="L61" s="7">
        <f t="shared" si="77"/>
        <v>-0.25000000000000011</v>
      </c>
      <c r="M61" s="7">
        <f t="shared" si="56"/>
        <v>1.5700318468107584</v>
      </c>
      <c r="N61" s="7">
        <f t="shared" si="56"/>
        <v>1.6688319268278635</v>
      </c>
      <c r="O61" s="13">
        <f t="shared" si="56"/>
        <v>1.7677669529663689</v>
      </c>
      <c r="P61" s="13">
        <f t="shared" si="56"/>
        <v>1.8668154702594471</v>
      </c>
      <c r="Q61" s="13">
        <f t="shared" si="56"/>
        <v>1.9659603251337499</v>
      </c>
      <c r="R61" s="13">
        <f t="shared" si="56"/>
        <v>2.0651876428063383</v>
      </c>
      <c r="S61" s="13">
        <f t="shared" si="56"/>
        <v>2.1644860821913365</v>
      </c>
      <c r="T61" s="13">
        <f t="shared" si="56"/>
        <v>2.2638462845343543</v>
      </c>
      <c r="U61" s="13">
        <f t="shared" si="56"/>
        <v>2.363260459619295</v>
      </c>
      <c r="V61" s="14">
        <f t="shared" si="56"/>
        <v>2.4627220712049507</v>
      </c>
      <c r="X61" s="43">
        <v>8</v>
      </c>
      <c r="Y61" s="15">
        <v>3</v>
      </c>
      <c r="Z61" s="15">
        <f t="shared" si="78"/>
        <v>2.25</v>
      </c>
      <c r="AA61" s="15">
        <f t="shared" si="57"/>
        <v>2.7436289836637897</v>
      </c>
      <c r="AB61" s="15">
        <f t="shared" si="58"/>
        <v>2.8013389655662881</v>
      </c>
      <c r="AC61" s="15">
        <f t="shared" si="59"/>
        <v>2.8613807855648994</v>
      </c>
      <c r="AD61" s="15">
        <f t="shared" si="60"/>
        <v>2.9236107812087435</v>
      </c>
      <c r="AE61" s="15">
        <f t="shared" si="61"/>
        <v>2.9878922336657321</v>
      </c>
      <c r="AF61" s="15">
        <f t="shared" si="62"/>
        <v>3.0540956108150903</v>
      </c>
      <c r="AG61" s="15">
        <f t="shared" si="63"/>
        <v>3.1220986531498331</v>
      </c>
      <c r="AH61" s="15">
        <f t="shared" si="64"/>
        <v>3.191786333700926</v>
      </c>
      <c r="AI61" s="15">
        <f t="shared" si="65"/>
        <v>3.2630507198019463</v>
      </c>
      <c r="AJ61" s="16">
        <f t="shared" si="66"/>
        <v>3.3357907608241861</v>
      </c>
      <c r="AL61" s="43">
        <v>3</v>
      </c>
      <c r="AM61" s="15">
        <f t="shared" si="79"/>
        <v>2.25</v>
      </c>
      <c r="AN61" s="15">
        <f t="shared" si="67"/>
        <v>1.7955066129101438</v>
      </c>
      <c r="AO61" s="15">
        <f t="shared" si="68"/>
        <v>1.8579061318875878</v>
      </c>
      <c r="AP61" s="15">
        <f t="shared" si="69"/>
        <v>1.8992599118333169</v>
      </c>
      <c r="AQ61" s="15">
        <f t="shared" si="70"/>
        <v>1.9216266386777994</v>
      </c>
      <c r="AR61" s="15">
        <f t="shared" si="71"/>
        <v>1.9272310991381523</v>
      </c>
      <c r="AS61" s="15">
        <f t="shared" si="72"/>
        <v>1.9183357900659703</v>
      </c>
      <c r="AT61" s="15">
        <f t="shared" si="73"/>
        <v>1.897145698694064</v>
      </c>
      <c r="AU61" s="15">
        <f t="shared" si="74"/>
        <v>1.8657420511434557</v>
      </c>
      <c r="AV61" s="15">
        <f t="shared" si="75"/>
        <v>1.8260400852941039</v>
      </c>
      <c r="AW61" s="16">
        <f t="shared" si="76"/>
        <v>1.7797658561010461</v>
      </c>
    </row>
    <row r="62" spans="7:179">
      <c r="K62" s="6">
        <v>9</v>
      </c>
      <c r="L62" s="7">
        <f t="shared" si="77"/>
        <v>-0.35000000000000009</v>
      </c>
      <c r="M62" s="7">
        <f t="shared" si="56"/>
        <v>1.5890248582070705</v>
      </c>
      <c r="N62" s="7">
        <f t="shared" si="56"/>
        <v>1.6867127793432999</v>
      </c>
      <c r="O62" s="13">
        <f t="shared" si="56"/>
        <v>1.7846568297574747</v>
      </c>
      <c r="P62" s="13">
        <f t="shared" si="56"/>
        <v>1.8828170383762732</v>
      </c>
      <c r="Q62" s="13">
        <f t="shared" si="56"/>
        <v>1.9811612756158949</v>
      </c>
      <c r="R62" s="13">
        <f t="shared" si="56"/>
        <v>2.0796634343085421</v>
      </c>
      <c r="S62" s="13">
        <f t="shared" si="56"/>
        <v>2.178302091079197</v>
      </c>
      <c r="T62" s="13">
        <f t="shared" si="56"/>
        <v>2.2770595073471402</v>
      </c>
      <c r="U62" s="13">
        <f t="shared" si="56"/>
        <v>2.3759208741033446</v>
      </c>
      <c r="V62" s="14">
        <f t="shared" si="56"/>
        <v>2.4748737341529168</v>
      </c>
      <c r="X62" s="43">
        <v>9</v>
      </c>
      <c r="Y62" s="15">
        <v>3</v>
      </c>
      <c r="Z62" s="15">
        <f t="shared" si="78"/>
        <v>2.25</v>
      </c>
      <c r="AA62" s="15">
        <f t="shared" si="57"/>
        <v>2.7545417041678641</v>
      </c>
      <c r="AB62" s="15">
        <f t="shared" si="58"/>
        <v>2.8120277381277732</v>
      </c>
      <c r="AC62" s="15">
        <f t="shared" si="59"/>
        <v>2.8718460961548757</v>
      </c>
      <c r="AD62" s="15">
        <f t="shared" si="60"/>
        <v>2.9338541204361204</v>
      </c>
      <c r="AE62" s="15">
        <f t="shared" si="61"/>
        <v>2.9979159427842537</v>
      </c>
      <c r="AF62" s="15">
        <f t="shared" si="62"/>
        <v>3.0639027399707057</v>
      </c>
      <c r="AG62" s="15">
        <f t="shared" si="63"/>
        <v>3.1316928329579201</v>
      </c>
      <c r="AH62" s="15">
        <f t="shared" si="64"/>
        <v>3.2011716605018234</v>
      </c>
      <c r="AI62" s="15">
        <f t="shared" si="65"/>
        <v>3.2722316543912355</v>
      </c>
      <c r="AJ62" s="16">
        <f t="shared" si="66"/>
        <v>3.3447720400649135</v>
      </c>
      <c r="AL62" s="43">
        <v>3</v>
      </c>
      <c r="AM62" s="15">
        <f t="shared" si="79"/>
        <v>2.25</v>
      </c>
      <c r="AN62" s="15">
        <f t="shared" si="67"/>
        <v>1.7870538910964902</v>
      </c>
      <c r="AO62" s="15">
        <f t="shared" si="68"/>
        <v>1.8466482342465187</v>
      </c>
      <c r="AP62" s="15">
        <f t="shared" si="69"/>
        <v>1.885973540808068</v>
      </c>
      <c r="AQ62" s="15">
        <f t="shared" si="70"/>
        <v>1.9069639103971594</v>
      </c>
      <c r="AR62" s="15">
        <f t="shared" si="71"/>
        <v>1.9117290035647543</v>
      </c>
      <c r="AS62" s="15">
        <f t="shared" si="72"/>
        <v>1.9024278257946323</v>
      </c>
      <c r="AT62" s="15">
        <f t="shared" si="73"/>
        <v>1.8811745248975602</v>
      </c>
      <c r="AU62" s="15">
        <f t="shared" si="74"/>
        <v>1.8499722499656022</v>
      </c>
      <c r="AV62" s="15">
        <f t="shared" si="75"/>
        <v>1.810670386079255</v>
      </c>
      <c r="AW62" s="16">
        <f t="shared" si="76"/>
        <v>1.7649404029802513</v>
      </c>
    </row>
    <row r="63" spans="7:179">
      <c r="K63" s="8">
        <v>10</v>
      </c>
      <c r="L63" s="9">
        <f t="shared" si="77"/>
        <v>-0.45000000000000007</v>
      </c>
      <c r="M63" s="9">
        <f t="shared" si="56"/>
        <v>1.6140012391568974</v>
      </c>
      <c r="N63" s="9">
        <f t="shared" si="56"/>
        <v>1.710263137648707</v>
      </c>
      <c r="O63" s="17">
        <f t="shared" si="56"/>
        <v>1.8069310999592652</v>
      </c>
      <c r="P63" s="17">
        <f t="shared" si="56"/>
        <v>1.9039432764659772</v>
      </c>
      <c r="Q63" s="17">
        <f t="shared" si="56"/>
        <v>2.00124960961895</v>
      </c>
      <c r="R63" s="17">
        <f t="shared" si="56"/>
        <v>2.0988091861815357</v>
      </c>
      <c r="S63" s="17">
        <f t="shared" si="56"/>
        <v>2.1965882636488798</v>
      </c>
      <c r="T63" s="17">
        <f t="shared" si="56"/>
        <v>2.2945587811167529</v>
      </c>
      <c r="U63" s="17">
        <f t="shared" si="56"/>
        <v>2.3926972228010799</v>
      </c>
      <c r="V63" s="18">
        <f t="shared" si="56"/>
        <v>2.4909837414162301</v>
      </c>
      <c r="X63" s="44">
        <v>10</v>
      </c>
      <c r="Y63" s="23">
        <v>3</v>
      </c>
      <c r="Z63" s="23">
        <f t="shared" si="78"/>
        <v>2.25</v>
      </c>
      <c r="AA63" s="23">
        <f t="shared" si="57"/>
        <v>2.7690250992000776</v>
      </c>
      <c r="AB63" s="23">
        <f t="shared" si="58"/>
        <v>2.8262165522125158</v>
      </c>
      <c r="AC63" s="23">
        <f t="shared" si="59"/>
        <v>2.8857408061016154</v>
      </c>
      <c r="AD63" s="23">
        <f t="shared" si="60"/>
        <v>2.9474565306378988</v>
      </c>
      <c r="AE63" s="23">
        <f t="shared" si="61"/>
        <v>3.0112289849827096</v>
      </c>
      <c r="AF63" s="23">
        <f t="shared" si="62"/>
        <v>3.0769302884530876</v>
      </c>
      <c r="AG63" s="23">
        <f t="shared" si="63"/>
        <v>3.1444395367060252</v>
      </c>
      <c r="AH63" s="23">
        <f t="shared" si="64"/>
        <v>3.2136427928442823</v>
      </c>
      <c r="AI63" s="23">
        <f t="shared" si="65"/>
        <v>3.2844329799829985</v>
      </c>
      <c r="AJ63" s="24">
        <f t="shared" si="66"/>
        <v>3.3567096984994098</v>
      </c>
      <c r="AL63" s="44">
        <v>3</v>
      </c>
      <c r="AM63" s="23">
        <f t="shared" si="79"/>
        <v>2.25</v>
      </c>
      <c r="AN63" s="23">
        <f t="shared" si="67"/>
        <v>1.7750222818266213</v>
      </c>
      <c r="AO63" s="23">
        <f t="shared" si="68"/>
        <v>1.8311861742806523</v>
      </c>
      <c r="AP63" s="23">
        <f t="shared" si="69"/>
        <v>1.8680340602225585</v>
      </c>
      <c r="AQ63" s="23">
        <f t="shared" si="70"/>
        <v>1.8873527900768459</v>
      </c>
      <c r="AR63" s="23">
        <f t="shared" si="71"/>
        <v>1.8911134288847784</v>
      </c>
      <c r="AS63" s="23">
        <f t="shared" si="72"/>
        <v>1.8813487642050908</v>
      </c>
      <c r="AT63" s="23">
        <f t="shared" si="73"/>
        <v>1.8600610797890968</v>
      </c>
      <c r="AU63" s="23">
        <f t="shared" si="74"/>
        <v>1.8291566511604826</v>
      </c>
      <c r="AV63" s="23">
        <f t="shared" si="75"/>
        <v>1.7904026600814873</v>
      </c>
      <c r="AW63" s="24">
        <f t="shared" si="76"/>
        <v>1.7454020942885589</v>
      </c>
    </row>
    <row r="64" spans="7:179">
      <c r="K64" s="1"/>
      <c r="L64" s="1"/>
      <c r="M64" s="1"/>
      <c r="N64" s="1"/>
      <c r="O64" s="10"/>
      <c r="P64" s="10"/>
    </row>
    <row r="65" spans="11:51" ht="30">
      <c r="K65" s="4" t="s">
        <v>18</v>
      </c>
      <c r="L65" s="5" t="s">
        <v>17</v>
      </c>
      <c r="M65" s="5">
        <v>1</v>
      </c>
      <c r="N65" s="5">
        <v>2</v>
      </c>
      <c r="O65" s="11">
        <v>3</v>
      </c>
      <c r="P65" s="11">
        <v>4</v>
      </c>
      <c r="Q65" s="11">
        <v>5</v>
      </c>
      <c r="R65" s="11">
        <v>6</v>
      </c>
      <c r="S65" s="11">
        <v>7</v>
      </c>
      <c r="T65" s="11">
        <v>8</v>
      </c>
      <c r="U65" s="11">
        <v>9</v>
      </c>
      <c r="V65" s="12">
        <v>10</v>
      </c>
    </row>
    <row r="66" spans="11:51">
      <c r="K66" s="6"/>
      <c r="L66" s="7" t="s">
        <v>125</v>
      </c>
      <c r="M66" s="7">
        <f t="shared" ref="M66:V66" si="80">$E$7+($B$17/2+$B$17*(M65-1))</f>
        <v>1.55</v>
      </c>
      <c r="N66" s="7">
        <f t="shared" si="80"/>
        <v>1.65</v>
      </c>
      <c r="O66" s="7">
        <f t="shared" si="80"/>
        <v>1.75</v>
      </c>
      <c r="P66" s="7">
        <f t="shared" si="80"/>
        <v>1.85</v>
      </c>
      <c r="Q66" s="7">
        <f t="shared" si="80"/>
        <v>1.95</v>
      </c>
      <c r="R66" s="7">
        <f t="shared" si="80"/>
        <v>2.0499999999999998</v>
      </c>
      <c r="S66" s="7">
        <f t="shared" si="80"/>
        <v>2.1500000000000004</v>
      </c>
      <c r="T66" s="7">
        <f t="shared" si="80"/>
        <v>2.25</v>
      </c>
      <c r="U66" s="7">
        <f t="shared" si="80"/>
        <v>2.35</v>
      </c>
      <c r="V66" s="7">
        <f t="shared" si="80"/>
        <v>2.4500000000000002</v>
      </c>
    </row>
    <row r="67" spans="11:51">
      <c r="K67" s="6" t="s">
        <v>19</v>
      </c>
      <c r="L67" s="7" t="s">
        <v>126</v>
      </c>
      <c r="M67" s="7"/>
      <c r="N67" s="7"/>
      <c r="O67" s="13"/>
      <c r="P67" s="13"/>
      <c r="Q67" s="15"/>
      <c r="R67" s="15"/>
      <c r="S67" s="15"/>
      <c r="T67" s="15"/>
      <c r="U67" s="15"/>
      <c r="V67" s="16"/>
      <c r="AA67" s="2" t="s">
        <v>55</v>
      </c>
      <c r="AB67" s="2" t="s">
        <v>56</v>
      </c>
      <c r="AC67" s="2" t="s">
        <v>57</v>
      </c>
      <c r="AD67" s="2" t="s">
        <v>58</v>
      </c>
      <c r="AE67" s="2" t="s">
        <v>59</v>
      </c>
      <c r="AF67" s="2" t="s">
        <v>60</v>
      </c>
      <c r="AG67" s="2" t="s">
        <v>61</v>
      </c>
      <c r="AH67" s="2" t="s">
        <v>62</v>
      </c>
      <c r="AI67" s="2" t="s">
        <v>63</v>
      </c>
      <c r="AJ67" s="2" t="s">
        <v>64</v>
      </c>
      <c r="AX67" s="2" t="s">
        <v>129</v>
      </c>
      <c r="AY67" s="2">
        <f>SUM(AN68:AW77)</f>
        <v>95.803647340897044</v>
      </c>
    </row>
    <row r="68" spans="11:51">
      <c r="K68" s="6">
        <v>1</v>
      </c>
      <c r="L68" s="7">
        <f>$B$9/2-($B$18/2+$B$18*(K68-1))</f>
        <v>0.45</v>
      </c>
      <c r="M68" s="7">
        <f t="shared" ref="M68:V77" si="81">SQRT(M$24^2+$L68^2)</f>
        <v>1.6140012391568974</v>
      </c>
      <c r="N68" s="7">
        <f t="shared" si="81"/>
        <v>1.710263137648707</v>
      </c>
      <c r="O68" s="13">
        <f t="shared" si="81"/>
        <v>1.8069310999592652</v>
      </c>
      <c r="P68" s="13">
        <f t="shared" si="81"/>
        <v>1.9039432764659772</v>
      </c>
      <c r="Q68" s="13">
        <f t="shared" si="81"/>
        <v>2.00124960961895</v>
      </c>
      <c r="R68" s="13">
        <f t="shared" si="81"/>
        <v>2.0988091861815357</v>
      </c>
      <c r="S68" s="13">
        <f t="shared" si="81"/>
        <v>2.1965882636488798</v>
      </c>
      <c r="T68" s="13">
        <f t="shared" si="81"/>
        <v>2.2945587811167529</v>
      </c>
      <c r="U68" s="13">
        <f t="shared" si="81"/>
        <v>2.3926972228010799</v>
      </c>
      <c r="V68" s="14">
        <f t="shared" si="81"/>
        <v>2.4909837414162301</v>
      </c>
      <c r="X68" s="55">
        <v>1</v>
      </c>
      <c r="Y68" s="25">
        <v>4</v>
      </c>
      <c r="Z68" s="25">
        <f>Y68*$B$19</f>
        <v>3</v>
      </c>
      <c r="AA68" s="25">
        <f t="shared" ref="AA68:AA77" si="82">SQRT($Z68^2+M68^2)</f>
        <v>3.4066112193791649</v>
      </c>
      <c r="AB68" s="25">
        <f t="shared" ref="AB68:AB77" si="83">SQRT($Z68^2+N68^2)</f>
        <v>3.4532593299664014</v>
      </c>
      <c r="AC68" s="25">
        <f t="shared" ref="AC68:AC77" si="84">SQRT($Z68^2+O68^2)</f>
        <v>3.5021422015674921</v>
      </c>
      <c r="AD68" s="25">
        <f t="shared" ref="AD68:AD77" si="85">SQRT($Z68^2+P68^2)</f>
        <v>3.5531676008879738</v>
      </c>
      <c r="AE68" s="25">
        <f t="shared" ref="AE68:AE77" si="86">SQRT($Z68^2+Q68^2)</f>
        <v>3.6062445840513924</v>
      </c>
      <c r="AF68" s="25">
        <f t="shared" ref="AF68:AF77" si="87">SQRT($Z68^2+R68^2)</f>
        <v>3.6612839278045621</v>
      </c>
      <c r="AG68" s="25">
        <f t="shared" ref="AG68:AG77" si="88">SQRT($Z68^2+S68^2)</f>
        <v>3.7181984885156414</v>
      </c>
      <c r="AH68" s="25">
        <f t="shared" ref="AH68:AH77" si="89">SQRT($Z68^2+T68^2)</f>
        <v>3.7769034936042511</v>
      </c>
      <c r="AI68" s="25">
        <f t="shared" ref="AI68:AI77" si="90">SQRT($Z68^2+U68^2)</f>
        <v>3.8373167708699789</v>
      </c>
      <c r="AJ68" s="20">
        <f t="shared" ref="AJ68:AJ77" si="91">SQRT($Z68^2+V26^2)</f>
        <v>3.8993589216690481</v>
      </c>
      <c r="AL68" s="55">
        <v>4</v>
      </c>
      <c r="AM68" s="25">
        <f>AL68*$B$19</f>
        <v>3</v>
      </c>
      <c r="AN68" s="25">
        <f t="shared" ref="AN68:AN77" si="92">$B$20/(2*PI())*(3*M68^2*$AM68/AA68^5-(1-2*$B$11)/(AA68*(AA68+$AM68)))*(M$66/M68)</f>
        <v>0.75470415110002875</v>
      </c>
      <c r="AO68" s="25">
        <f t="shared" ref="AO68:AO77" si="93">$B$20/(2*PI())*(3*N68^2*$AM68/AB68^5-(1-2*$B$11)/(AB68*(AB68+$AM68)))*(N$66/N68)</f>
        <v>0.81850624368084224</v>
      </c>
      <c r="AP68" s="25">
        <f t="shared" ref="AP68:AP77" si="94">$B$20/(2*PI())*(3*O68^2*$AM68/AC68^5-(1-2*$B$11)/(AC68*(AC68+$AM68)))*(O$66/O68)</f>
        <v>0.87515155722142635</v>
      </c>
      <c r="AQ68" s="25">
        <f t="shared" ref="AQ68:AQ77" si="95">$B$20/(2*PI())*(3*P68^2*$AM68/AD68^5-(1-2*$B$11)/(AD68*(AD68+$AM68)))*(P$66/P68)</f>
        <v>0.92441598587848939</v>
      </c>
      <c r="AR68" s="25">
        <f t="shared" ref="AR68:AR77" si="96">$B$20/(2*PI())*(3*Q68^2*$AM68/AE68^5-(1-2*$B$11)/(AE68*(AE68+$AM68)))*(Q$66/Q68)</f>
        <v>0.96626995886595135</v>
      </c>
      <c r="AS68" s="25">
        <f t="shared" ref="AS68:AS77" si="97">$B$20/(2*PI())*(3*R68^2*$AM68/AF68^5-(1-2*$B$11)/(AF68*(AF68+$AM68)))*(R$66/R68)</f>
        <v>1.0008450441041603</v>
      </c>
      <c r="AT68" s="25">
        <f t="shared" ref="AT68:AT77" si="98">$B$20/(2*PI())*(3*S68^2*$AM68/AG68^5-(1-2*$B$11)/(AG68*(AG68+$AM68)))*(S$66/S68)</f>
        <v>1.0284016795250783</v>
      </c>
      <c r="AU68" s="25">
        <f t="shared" ref="AU68:AU77" si="99">$B$20/(2*PI())*(3*T68^2*$AM68/AH68^5-(1-2*$B$11)/(AH68*(AH68+$AM68)))*(T$66/T68)</f>
        <v>1.049299086244456</v>
      </c>
      <c r="AV68" s="25">
        <f t="shared" ref="AV68:AV77" si="100">$B$20/(2*PI())*(3*U68^2*$AM68/AI68^5-(1-2*$B$11)/(AI68*(AI68+$AM68)))*(U$66/U68)</f>
        <v>1.0639680931873923</v>
      </c>
      <c r="AW68" s="20">
        <f t="shared" ref="AW68:AW77" si="101">$B$20/(2*PI())*(3*V68^2*$AM68/AJ68^5-(1-2*$B$11)/(AJ68*(AJ68+$AM68)))*(V$66/V68)</f>
        <v>1.0728872994257515</v>
      </c>
    </row>
    <row r="69" spans="11:51">
      <c r="K69" s="6">
        <v>2</v>
      </c>
      <c r="L69" s="7">
        <f t="shared" ref="L69:L77" si="102">$B$9/2-($B$18/2+$B$18*(K69-1))</f>
        <v>0.35</v>
      </c>
      <c r="M69" s="7">
        <f t="shared" si="81"/>
        <v>1.5890248582070705</v>
      </c>
      <c r="N69" s="7">
        <f t="shared" si="81"/>
        <v>1.6867127793432999</v>
      </c>
      <c r="O69" s="13">
        <f t="shared" si="81"/>
        <v>1.7846568297574747</v>
      </c>
      <c r="P69" s="13">
        <f t="shared" si="81"/>
        <v>1.8828170383762732</v>
      </c>
      <c r="Q69" s="13">
        <f t="shared" si="81"/>
        <v>1.9811612756158949</v>
      </c>
      <c r="R69" s="13">
        <f t="shared" si="81"/>
        <v>2.0796634343085421</v>
      </c>
      <c r="S69" s="13">
        <f t="shared" si="81"/>
        <v>2.1783020910791966</v>
      </c>
      <c r="T69" s="13">
        <f t="shared" si="81"/>
        <v>2.2770595073471398</v>
      </c>
      <c r="U69" s="13">
        <f t="shared" si="81"/>
        <v>2.3759208741033446</v>
      </c>
      <c r="V69" s="14">
        <f t="shared" si="81"/>
        <v>2.4748737341529163</v>
      </c>
      <c r="X69" s="43">
        <v>2</v>
      </c>
      <c r="Y69" s="15">
        <v>4</v>
      </c>
      <c r="Z69" s="15">
        <f t="shared" ref="Z69:Z77" si="103">Y69*$B$19</f>
        <v>3</v>
      </c>
      <c r="AA69" s="15">
        <f t="shared" si="82"/>
        <v>3.3948490393535913</v>
      </c>
      <c r="AB69" s="15">
        <f t="shared" si="83"/>
        <v>3.4416565778706043</v>
      </c>
      <c r="AC69" s="15">
        <f t="shared" si="84"/>
        <v>3.4907019351414124</v>
      </c>
      <c r="AD69" s="15">
        <f t="shared" si="85"/>
        <v>3.5418921496849678</v>
      </c>
      <c r="AE69" s="15">
        <f t="shared" si="86"/>
        <v>3.5951356024495098</v>
      </c>
      <c r="AF69" s="15">
        <f t="shared" si="87"/>
        <v>3.6503424496887957</v>
      </c>
      <c r="AG69" s="15">
        <f t="shared" si="88"/>
        <v>3.7074249823833254</v>
      </c>
      <c r="AH69" s="15">
        <f t="shared" si="89"/>
        <v>3.7662979170532962</v>
      </c>
      <c r="AI69" s="15">
        <f t="shared" si="90"/>
        <v>3.826878623630491</v>
      </c>
      <c r="AJ69" s="16">
        <f t="shared" si="91"/>
        <v>3.8890872965260113</v>
      </c>
      <c r="AL69" s="43">
        <v>4</v>
      </c>
      <c r="AM69" s="15">
        <f t="shared" ref="AM69:AM77" si="104">AL69*$B$19</f>
        <v>3</v>
      </c>
      <c r="AN69" s="15">
        <f t="shared" si="92"/>
        <v>0.7495615495600404</v>
      </c>
      <c r="AO69" s="15">
        <f t="shared" si="93"/>
        <v>0.81564413474356734</v>
      </c>
      <c r="AP69" s="15">
        <f t="shared" si="94"/>
        <v>0.87426184476112645</v>
      </c>
      <c r="AQ69" s="15">
        <f t="shared" si="95"/>
        <v>0.92521072644856039</v>
      </c>
      <c r="AR69" s="15">
        <f t="shared" si="96"/>
        <v>0.96848308880168643</v>
      </c>
      <c r="AS69" s="15">
        <f t="shared" si="97"/>
        <v>1.0042335241232072</v>
      </c>
      <c r="AT69" s="15">
        <f t="shared" si="98"/>
        <v>1.0327460147491176</v>
      </c>
      <c r="AU69" s="15">
        <f t="shared" si="99"/>
        <v>1.0544032525610298</v>
      </c>
      <c r="AV69" s="15">
        <f t="shared" si="100"/>
        <v>1.0696589455594274</v>
      </c>
      <c r="AW69" s="16">
        <f t="shared" si="101"/>
        <v>1.0790135602616218</v>
      </c>
    </row>
    <row r="70" spans="11:51">
      <c r="K70" s="6">
        <v>3</v>
      </c>
      <c r="L70" s="7">
        <f t="shared" si="102"/>
        <v>0.25</v>
      </c>
      <c r="M70" s="7">
        <f t="shared" si="81"/>
        <v>1.5700318468107584</v>
      </c>
      <c r="N70" s="7">
        <f t="shared" si="81"/>
        <v>1.6688319268278635</v>
      </c>
      <c r="O70" s="13">
        <f t="shared" si="81"/>
        <v>1.7677669529663689</v>
      </c>
      <c r="P70" s="13">
        <f t="shared" si="81"/>
        <v>1.8668154702594471</v>
      </c>
      <c r="Q70" s="13">
        <f t="shared" si="81"/>
        <v>1.9659603251337499</v>
      </c>
      <c r="R70" s="13">
        <f t="shared" si="81"/>
        <v>2.0651876428063383</v>
      </c>
      <c r="S70" s="13">
        <f t="shared" si="81"/>
        <v>2.1644860821913365</v>
      </c>
      <c r="T70" s="13">
        <f t="shared" si="81"/>
        <v>2.2638462845343543</v>
      </c>
      <c r="U70" s="13">
        <f t="shared" si="81"/>
        <v>2.363260459619295</v>
      </c>
      <c r="V70" s="14">
        <f t="shared" si="81"/>
        <v>2.4627220712049507</v>
      </c>
      <c r="X70" s="43">
        <v>3</v>
      </c>
      <c r="Y70" s="15">
        <v>4</v>
      </c>
      <c r="Z70" s="15">
        <f t="shared" si="103"/>
        <v>3</v>
      </c>
      <c r="AA70" s="15">
        <f t="shared" si="82"/>
        <v>3.3860005906674027</v>
      </c>
      <c r="AB70" s="15">
        <f t="shared" si="83"/>
        <v>3.4329287787543743</v>
      </c>
      <c r="AC70" s="15">
        <f t="shared" si="84"/>
        <v>3.4820970692960298</v>
      </c>
      <c r="AD70" s="15">
        <f t="shared" si="85"/>
        <v>3.5334119488109503</v>
      </c>
      <c r="AE70" s="15">
        <f t="shared" si="86"/>
        <v>3.5867812868921907</v>
      </c>
      <c r="AF70" s="15">
        <f t="shared" si="87"/>
        <v>3.6421147702948629</v>
      </c>
      <c r="AG70" s="15">
        <f t="shared" si="88"/>
        <v>3.699324262618783</v>
      </c>
      <c r="AH70" s="15">
        <f t="shared" si="89"/>
        <v>3.758324094593227</v>
      </c>
      <c r="AI70" s="15">
        <f t="shared" si="90"/>
        <v>3.8190312907856621</v>
      </c>
      <c r="AJ70" s="16">
        <f t="shared" si="91"/>
        <v>3.8813657390150702</v>
      </c>
      <c r="AL70" s="43">
        <v>4</v>
      </c>
      <c r="AM70" s="15">
        <f t="shared" si="104"/>
        <v>3</v>
      </c>
      <c r="AN70" s="15">
        <f t="shared" si="92"/>
        <v>0.74521894740130989</v>
      </c>
      <c r="AO70" s="15">
        <f t="shared" si="93"/>
        <v>0.81312023287586066</v>
      </c>
      <c r="AP70" s="15">
        <f t="shared" si="94"/>
        <v>0.8733043045935085</v>
      </c>
      <c r="AQ70" s="15">
        <f t="shared" si="95"/>
        <v>0.92558662676759784</v>
      </c>
      <c r="AR70" s="15">
        <f t="shared" si="96"/>
        <v>0.96997918521385607</v>
      </c>
      <c r="AS70" s="15">
        <f t="shared" si="97"/>
        <v>1.0066563890960456</v>
      </c>
      <c r="AT70" s="15">
        <f t="shared" si="98"/>
        <v>1.0359219112130935</v>
      </c>
      <c r="AU70" s="15">
        <f t="shared" si="99"/>
        <v>1.0581776939607446</v>
      </c>
      <c r="AV70" s="15">
        <f t="shared" si="100"/>
        <v>1.0738959558045535</v>
      </c>
      <c r="AW70" s="16">
        <f t="shared" si="101"/>
        <v>1.0835946802308229</v>
      </c>
    </row>
    <row r="71" spans="11:51">
      <c r="K71" s="6">
        <v>4</v>
      </c>
      <c r="L71" s="7">
        <f t="shared" si="102"/>
        <v>0.14999999999999997</v>
      </c>
      <c r="M71" s="7">
        <f t="shared" si="81"/>
        <v>1.5572411502397439</v>
      </c>
      <c r="N71" s="7">
        <f t="shared" si="81"/>
        <v>1.656804152578089</v>
      </c>
      <c r="O71" s="13">
        <f t="shared" si="81"/>
        <v>1.7564168070250297</v>
      </c>
      <c r="P71" s="13">
        <f t="shared" si="81"/>
        <v>1.8560711193270587</v>
      </c>
      <c r="Q71" s="13">
        <f t="shared" si="81"/>
        <v>1.9557607215607946</v>
      </c>
      <c r="R71" s="13">
        <f t="shared" si="81"/>
        <v>2.0554804791094465</v>
      </c>
      <c r="S71" s="13">
        <f t="shared" si="81"/>
        <v>2.155226206225231</v>
      </c>
      <c r="T71" s="13">
        <f t="shared" si="81"/>
        <v>2.2549944567559361</v>
      </c>
      <c r="U71" s="13">
        <f t="shared" si="81"/>
        <v>2.3547823678633235</v>
      </c>
      <c r="V71" s="14">
        <f t="shared" si="81"/>
        <v>2.4545875417267156</v>
      </c>
      <c r="X71" s="43">
        <v>4</v>
      </c>
      <c r="Y71" s="15">
        <v>4</v>
      </c>
      <c r="Z71" s="15">
        <f t="shared" si="103"/>
        <v>3</v>
      </c>
      <c r="AA71" s="15">
        <f t="shared" si="82"/>
        <v>3.3800887562311144</v>
      </c>
      <c r="AB71" s="15">
        <f t="shared" si="83"/>
        <v>3.4270978976387587</v>
      </c>
      <c r="AC71" s="15">
        <f t="shared" si="84"/>
        <v>3.4763486591537394</v>
      </c>
      <c r="AD71" s="15">
        <f t="shared" si="85"/>
        <v>3.5277471564725271</v>
      </c>
      <c r="AE71" s="15">
        <f t="shared" si="86"/>
        <v>3.5812009158939966</v>
      </c>
      <c r="AF71" s="15">
        <f t="shared" si="87"/>
        <v>3.6366193091936361</v>
      </c>
      <c r="AG71" s="15">
        <f t="shared" si="88"/>
        <v>3.6939139134527759</v>
      </c>
      <c r="AH71" s="15">
        <f t="shared" si="89"/>
        <v>3.7529988009590411</v>
      </c>
      <c r="AI71" s="15">
        <f t="shared" si="90"/>
        <v>3.8137907651049763</v>
      </c>
      <c r="AJ71" s="16">
        <f t="shared" si="91"/>
        <v>3.8762094886628611</v>
      </c>
      <c r="AL71" s="43">
        <v>4</v>
      </c>
      <c r="AM71" s="15">
        <f t="shared" si="104"/>
        <v>3</v>
      </c>
      <c r="AN71" s="15">
        <f t="shared" si="92"/>
        <v>0.7420781427312646</v>
      </c>
      <c r="AO71" s="15">
        <f t="shared" si="93"/>
        <v>0.81124728169455063</v>
      </c>
      <c r="AP71" s="15">
        <f t="shared" si="94"/>
        <v>0.87251979933555757</v>
      </c>
      <c r="AQ71" s="15">
        <f t="shared" si="95"/>
        <v>0.92572647897324123</v>
      </c>
      <c r="AR71" s="15">
        <f t="shared" si="96"/>
        <v>0.97089419213989692</v>
      </c>
      <c r="AS71" s="15">
        <f t="shared" si="97"/>
        <v>1.0082119155800644</v>
      </c>
      <c r="AT71" s="15">
        <f t="shared" si="98"/>
        <v>1.0379975155319452</v>
      </c>
      <c r="AU71" s="15">
        <f t="shared" si="99"/>
        <v>1.0606666226161792</v>
      </c>
      <c r="AV71" s="15">
        <f t="shared" si="100"/>
        <v>1.0767044897638665</v>
      </c>
      <c r="AW71" s="16">
        <f t="shared" si="101"/>
        <v>1.0866413474622014</v>
      </c>
    </row>
    <row r="72" spans="11:51">
      <c r="K72" s="6">
        <v>5</v>
      </c>
      <c r="L72" s="7">
        <f t="shared" si="102"/>
        <v>4.9999999999999989E-2</v>
      </c>
      <c r="M72" s="7">
        <f t="shared" si="81"/>
        <v>1.5508062419270823</v>
      </c>
      <c r="N72" s="7">
        <f t="shared" si="81"/>
        <v>1.6507574019219178</v>
      </c>
      <c r="O72" s="13">
        <f t="shared" si="81"/>
        <v>1.7507141400011597</v>
      </c>
      <c r="P72" s="13">
        <f t="shared" si="81"/>
        <v>1.8506755523321747</v>
      </c>
      <c r="Q72" s="13">
        <f t="shared" si="81"/>
        <v>1.9506409203131159</v>
      </c>
      <c r="R72" s="13">
        <f t="shared" si="81"/>
        <v>2.0506096654409878</v>
      </c>
      <c r="S72" s="13">
        <f t="shared" si="81"/>
        <v>2.1505813167606571</v>
      </c>
      <c r="T72" s="13">
        <f t="shared" si="81"/>
        <v>2.2505554869853799</v>
      </c>
      <c r="U72" s="13">
        <f t="shared" si="81"/>
        <v>2.350531854708632</v>
      </c>
      <c r="V72" s="14">
        <f t="shared" si="81"/>
        <v>2.4505101509685696</v>
      </c>
      <c r="X72" s="43">
        <v>5</v>
      </c>
      <c r="Y72" s="15">
        <v>4</v>
      </c>
      <c r="Z72" s="15">
        <f t="shared" si="103"/>
        <v>3</v>
      </c>
      <c r="AA72" s="15">
        <f t="shared" si="82"/>
        <v>3.3771289581536563</v>
      </c>
      <c r="AB72" s="15">
        <f t="shared" si="83"/>
        <v>3.4241787336527865</v>
      </c>
      <c r="AC72" s="15">
        <f t="shared" si="84"/>
        <v>3.4734708865916812</v>
      </c>
      <c r="AD72" s="15">
        <f t="shared" si="85"/>
        <v>3.5249113464029134</v>
      </c>
      <c r="AE72" s="15">
        <f t="shared" si="86"/>
        <v>3.5784074670165777</v>
      </c>
      <c r="AF72" s="15">
        <f t="shared" si="87"/>
        <v>3.6338684621213244</v>
      </c>
      <c r="AG72" s="15">
        <f t="shared" si="88"/>
        <v>3.6912057650583505</v>
      </c>
      <c r="AH72" s="15">
        <f t="shared" si="89"/>
        <v>3.7503333185198353</v>
      </c>
      <c r="AI72" s="15">
        <f t="shared" si="90"/>
        <v>3.8111678000319014</v>
      </c>
      <c r="AJ72" s="16">
        <f t="shared" si="91"/>
        <v>3.8736287896493131</v>
      </c>
      <c r="AL72" s="43">
        <v>4</v>
      </c>
      <c r="AM72" s="15">
        <f t="shared" si="104"/>
        <v>3</v>
      </c>
      <c r="AN72" s="15">
        <f t="shared" si="92"/>
        <v>0.74043094451341451</v>
      </c>
      <c r="AO72" s="15">
        <f t="shared" si="93"/>
        <v>0.81025144637952573</v>
      </c>
      <c r="AP72" s="15">
        <f t="shared" si="94"/>
        <v>0.87208203582225674</v>
      </c>
      <c r="AQ72" s="15">
        <f t="shared" si="95"/>
        <v>0.92576194162246783</v>
      </c>
      <c r="AR72" s="15">
        <f t="shared" si="96"/>
        <v>0.97132605587997956</v>
      </c>
      <c r="AS72" s="15">
        <f t="shared" si="97"/>
        <v>1.008971077506621</v>
      </c>
      <c r="AT72" s="15">
        <f t="shared" si="98"/>
        <v>1.0390223109500389</v>
      </c>
      <c r="AU72" s="15">
        <f t="shared" si="99"/>
        <v>1.0619025024549593</v>
      </c>
      <c r="AV72" s="15">
        <f t="shared" si="100"/>
        <v>1.0781036413194343</v>
      </c>
      <c r="AW72" s="16">
        <f t="shared" si="101"/>
        <v>1.0881622602107046</v>
      </c>
    </row>
    <row r="73" spans="11:51">
      <c r="K73" s="6">
        <v>6</v>
      </c>
      <c r="L73" s="7">
        <f t="shared" si="102"/>
        <v>-5.0000000000000044E-2</v>
      </c>
      <c r="M73" s="7">
        <f t="shared" si="81"/>
        <v>1.5508062419270823</v>
      </c>
      <c r="N73" s="7">
        <f t="shared" si="81"/>
        <v>1.6507574019219178</v>
      </c>
      <c r="O73" s="13">
        <f t="shared" si="81"/>
        <v>1.7507141400011597</v>
      </c>
      <c r="P73" s="13">
        <f t="shared" si="81"/>
        <v>1.8506755523321747</v>
      </c>
      <c r="Q73" s="13">
        <f t="shared" si="81"/>
        <v>1.9506409203131159</v>
      </c>
      <c r="R73" s="13">
        <f t="shared" si="81"/>
        <v>2.0506096654409878</v>
      </c>
      <c r="S73" s="13">
        <f t="shared" si="81"/>
        <v>2.1505813167606571</v>
      </c>
      <c r="T73" s="13">
        <f t="shared" si="81"/>
        <v>2.2505554869853799</v>
      </c>
      <c r="U73" s="13">
        <f t="shared" si="81"/>
        <v>2.350531854708632</v>
      </c>
      <c r="V73" s="14">
        <f t="shared" si="81"/>
        <v>2.4505101509685696</v>
      </c>
      <c r="X73" s="43">
        <v>6</v>
      </c>
      <c r="Y73" s="15">
        <v>4</v>
      </c>
      <c r="Z73" s="15">
        <f t="shared" si="103"/>
        <v>3</v>
      </c>
      <c r="AA73" s="15">
        <f t="shared" si="82"/>
        <v>3.3771289581536563</v>
      </c>
      <c r="AB73" s="15">
        <f t="shared" si="83"/>
        <v>3.4241787336527865</v>
      </c>
      <c r="AC73" s="15">
        <f t="shared" si="84"/>
        <v>3.4734708865916812</v>
      </c>
      <c r="AD73" s="15">
        <f t="shared" si="85"/>
        <v>3.5249113464029134</v>
      </c>
      <c r="AE73" s="15">
        <f t="shared" si="86"/>
        <v>3.5784074670165777</v>
      </c>
      <c r="AF73" s="15">
        <f t="shared" si="87"/>
        <v>3.6338684621213244</v>
      </c>
      <c r="AG73" s="15">
        <f t="shared" si="88"/>
        <v>3.6912057650583505</v>
      </c>
      <c r="AH73" s="15">
        <f t="shared" si="89"/>
        <v>3.7503333185198353</v>
      </c>
      <c r="AI73" s="15">
        <f t="shared" si="90"/>
        <v>3.8111678000319014</v>
      </c>
      <c r="AJ73" s="16">
        <f t="shared" si="91"/>
        <v>3.8736287896493131</v>
      </c>
      <c r="AL73" s="43">
        <v>4</v>
      </c>
      <c r="AM73" s="15">
        <f t="shared" si="104"/>
        <v>3</v>
      </c>
      <c r="AN73" s="15">
        <f t="shared" si="92"/>
        <v>0.74043094451341451</v>
      </c>
      <c r="AO73" s="15">
        <f t="shared" si="93"/>
        <v>0.81025144637952573</v>
      </c>
      <c r="AP73" s="15">
        <f t="shared" si="94"/>
        <v>0.87208203582225674</v>
      </c>
      <c r="AQ73" s="15">
        <f t="shared" si="95"/>
        <v>0.92576194162246783</v>
      </c>
      <c r="AR73" s="15">
        <f t="shared" si="96"/>
        <v>0.97132605587997956</v>
      </c>
      <c r="AS73" s="15">
        <f t="shared" si="97"/>
        <v>1.008971077506621</v>
      </c>
      <c r="AT73" s="15">
        <f t="shared" si="98"/>
        <v>1.0390223109500389</v>
      </c>
      <c r="AU73" s="15">
        <f t="shared" si="99"/>
        <v>1.0619025024549593</v>
      </c>
      <c r="AV73" s="15">
        <f t="shared" si="100"/>
        <v>1.0781036413194343</v>
      </c>
      <c r="AW73" s="16">
        <f t="shared" si="101"/>
        <v>1.0881622602107046</v>
      </c>
    </row>
    <row r="74" spans="11:51">
      <c r="K74" s="6">
        <v>7</v>
      </c>
      <c r="L74" s="7">
        <f t="shared" si="102"/>
        <v>-0.15000000000000013</v>
      </c>
      <c r="M74" s="7">
        <f t="shared" si="81"/>
        <v>1.5572411502397439</v>
      </c>
      <c r="N74" s="7">
        <f t="shared" si="81"/>
        <v>1.656804152578089</v>
      </c>
      <c r="O74" s="13">
        <f t="shared" si="81"/>
        <v>1.7564168070250297</v>
      </c>
      <c r="P74" s="13">
        <f t="shared" si="81"/>
        <v>1.8560711193270587</v>
      </c>
      <c r="Q74" s="13">
        <f t="shared" si="81"/>
        <v>1.9557607215607946</v>
      </c>
      <c r="R74" s="13">
        <f t="shared" si="81"/>
        <v>2.0554804791094465</v>
      </c>
      <c r="S74" s="13">
        <f t="shared" si="81"/>
        <v>2.155226206225231</v>
      </c>
      <c r="T74" s="13">
        <f t="shared" si="81"/>
        <v>2.2549944567559361</v>
      </c>
      <c r="U74" s="13">
        <f t="shared" si="81"/>
        <v>2.3547823678633235</v>
      </c>
      <c r="V74" s="14">
        <f t="shared" si="81"/>
        <v>2.4545875417267156</v>
      </c>
      <c r="X74" s="43">
        <v>7</v>
      </c>
      <c r="Y74" s="15">
        <v>4</v>
      </c>
      <c r="Z74" s="15">
        <f t="shared" si="103"/>
        <v>3</v>
      </c>
      <c r="AA74" s="15">
        <f t="shared" si="82"/>
        <v>3.3800887562311144</v>
      </c>
      <c r="AB74" s="15">
        <f t="shared" si="83"/>
        <v>3.4270978976387587</v>
      </c>
      <c r="AC74" s="15">
        <f t="shared" si="84"/>
        <v>3.4763486591537394</v>
      </c>
      <c r="AD74" s="15">
        <f t="shared" si="85"/>
        <v>3.5277471564725271</v>
      </c>
      <c r="AE74" s="15">
        <f t="shared" si="86"/>
        <v>3.5812009158939966</v>
      </c>
      <c r="AF74" s="15">
        <f t="shared" si="87"/>
        <v>3.6366193091936361</v>
      </c>
      <c r="AG74" s="15">
        <f t="shared" si="88"/>
        <v>3.6939139134527759</v>
      </c>
      <c r="AH74" s="15">
        <f t="shared" si="89"/>
        <v>3.7529988009590411</v>
      </c>
      <c r="AI74" s="15">
        <f t="shared" si="90"/>
        <v>3.8137907651049763</v>
      </c>
      <c r="AJ74" s="16">
        <f t="shared" si="91"/>
        <v>3.8762094886628611</v>
      </c>
      <c r="AL74" s="43">
        <v>4</v>
      </c>
      <c r="AM74" s="15">
        <f t="shared" si="104"/>
        <v>3</v>
      </c>
      <c r="AN74" s="15">
        <f t="shared" si="92"/>
        <v>0.7420781427312646</v>
      </c>
      <c r="AO74" s="15">
        <f t="shared" si="93"/>
        <v>0.81124728169455063</v>
      </c>
      <c r="AP74" s="15">
        <f t="shared" si="94"/>
        <v>0.87251979933555757</v>
      </c>
      <c r="AQ74" s="15">
        <f t="shared" si="95"/>
        <v>0.92572647897324123</v>
      </c>
      <c r="AR74" s="15">
        <f t="shared" si="96"/>
        <v>0.97089419213989692</v>
      </c>
      <c r="AS74" s="15">
        <f t="shared" si="97"/>
        <v>1.0082119155800644</v>
      </c>
      <c r="AT74" s="15">
        <f t="shared" si="98"/>
        <v>1.0379975155319452</v>
      </c>
      <c r="AU74" s="15">
        <f t="shared" si="99"/>
        <v>1.0606666226161792</v>
      </c>
      <c r="AV74" s="15">
        <f t="shared" si="100"/>
        <v>1.0767044897638665</v>
      </c>
      <c r="AW74" s="16">
        <f t="shared" si="101"/>
        <v>1.0866413474622014</v>
      </c>
    </row>
    <row r="75" spans="11:51">
      <c r="K75" s="6">
        <v>8</v>
      </c>
      <c r="L75" s="7">
        <f t="shared" si="102"/>
        <v>-0.25000000000000011</v>
      </c>
      <c r="M75" s="7">
        <f t="shared" si="81"/>
        <v>1.5700318468107584</v>
      </c>
      <c r="N75" s="7">
        <f t="shared" si="81"/>
        <v>1.6688319268278635</v>
      </c>
      <c r="O75" s="13">
        <f t="shared" si="81"/>
        <v>1.7677669529663689</v>
      </c>
      <c r="P75" s="13">
        <f t="shared" si="81"/>
        <v>1.8668154702594471</v>
      </c>
      <c r="Q75" s="13">
        <f t="shared" si="81"/>
        <v>1.9659603251337499</v>
      </c>
      <c r="R75" s="13">
        <f t="shared" si="81"/>
        <v>2.0651876428063383</v>
      </c>
      <c r="S75" s="13">
        <f t="shared" si="81"/>
        <v>2.1644860821913365</v>
      </c>
      <c r="T75" s="13">
        <f t="shared" si="81"/>
        <v>2.2638462845343543</v>
      </c>
      <c r="U75" s="13">
        <f t="shared" si="81"/>
        <v>2.363260459619295</v>
      </c>
      <c r="V75" s="14">
        <f t="shared" si="81"/>
        <v>2.4627220712049507</v>
      </c>
      <c r="X75" s="43">
        <v>8</v>
      </c>
      <c r="Y75" s="15">
        <v>4</v>
      </c>
      <c r="Z75" s="15">
        <f t="shared" si="103"/>
        <v>3</v>
      </c>
      <c r="AA75" s="15">
        <f t="shared" si="82"/>
        <v>3.3860005906674027</v>
      </c>
      <c r="AB75" s="15">
        <f t="shared" si="83"/>
        <v>3.4329287787543743</v>
      </c>
      <c r="AC75" s="15">
        <f t="shared" si="84"/>
        <v>3.4820970692960298</v>
      </c>
      <c r="AD75" s="15">
        <f t="shared" si="85"/>
        <v>3.5334119488109503</v>
      </c>
      <c r="AE75" s="15">
        <f t="shared" si="86"/>
        <v>3.5867812868921907</v>
      </c>
      <c r="AF75" s="15">
        <f t="shared" si="87"/>
        <v>3.6421147702948629</v>
      </c>
      <c r="AG75" s="15">
        <f t="shared" si="88"/>
        <v>3.699324262618783</v>
      </c>
      <c r="AH75" s="15">
        <f t="shared" si="89"/>
        <v>3.758324094593227</v>
      </c>
      <c r="AI75" s="15">
        <f t="shared" si="90"/>
        <v>3.8190312907856621</v>
      </c>
      <c r="AJ75" s="16">
        <f t="shared" si="91"/>
        <v>3.8813657390150702</v>
      </c>
      <c r="AL75" s="43">
        <v>4</v>
      </c>
      <c r="AM75" s="15">
        <f t="shared" si="104"/>
        <v>3</v>
      </c>
      <c r="AN75" s="15">
        <f t="shared" si="92"/>
        <v>0.74521894740130989</v>
      </c>
      <c r="AO75" s="15">
        <f t="shared" si="93"/>
        <v>0.81312023287586066</v>
      </c>
      <c r="AP75" s="15">
        <f t="shared" si="94"/>
        <v>0.8733043045935085</v>
      </c>
      <c r="AQ75" s="15">
        <f t="shared" si="95"/>
        <v>0.92558662676759784</v>
      </c>
      <c r="AR75" s="15">
        <f t="shared" si="96"/>
        <v>0.96997918521385607</v>
      </c>
      <c r="AS75" s="15">
        <f t="shared" si="97"/>
        <v>1.0066563890960456</v>
      </c>
      <c r="AT75" s="15">
        <f t="shared" si="98"/>
        <v>1.0359219112130935</v>
      </c>
      <c r="AU75" s="15">
        <f t="shared" si="99"/>
        <v>1.0581776939607446</v>
      </c>
      <c r="AV75" s="15">
        <f t="shared" si="100"/>
        <v>1.0738959558045535</v>
      </c>
      <c r="AW75" s="16">
        <f t="shared" si="101"/>
        <v>1.0835946802308229</v>
      </c>
    </row>
    <row r="76" spans="11:51">
      <c r="K76" s="6">
        <v>9</v>
      </c>
      <c r="L76" s="7">
        <f t="shared" si="102"/>
        <v>-0.35000000000000009</v>
      </c>
      <c r="M76" s="7">
        <f t="shared" si="81"/>
        <v>1.5890248582070705</v>
      </c>
      <c r="N76" s="7">
        <f t="shared" si="81"/>
        <v>1.6867127793432999</v>
      </c>
      <c r="O76" s="13">
        <f t="shared" si="81"/>
        <v>1.7846568297574747</v>
      </c>
      <c r="P76" s="13">
        <f t="shared" si="81"/>
        <v>1.8828170383762732</v>
      </c>
      <c r="Q76" s="13">
        <f t="shared" si="81"/>
        <v>1.9811612756158949</v>
      </c>
      <c r="R76" s="13">
        <f t="shared" si="81"/>
        <v>2.0796634343085421</v>
      </c>
      <c r="S76" s="13">
        <f t="shared" si="81"/>
        <v>2.178302091079197</v>
      </c>
      <c r="T76" s="13">
        <f t="shared" si="81"/>
        <v>2.2770595073471402</v>
      </c>
      <c r="U76" s="13">
        <f t="shared" si="81"/>
        <v>2.3759208741033446</v>
      </c>
      <c r="V76" s="14">
        <f t="shared" si="81"/>
        <v>2.4748737341529168</v>
      </c>
      <c r="X76" s="43">
        <v>9</v>
      </c>
      <c r="Y76" s="15">
        <v>4</v>
      </c>
      <c r="Z76" s="15">
        <f t="shared" si="103"/>
        <v>3</v>
      </c>
      <c r="AA76" s="15">
        <f t="shared" si="82"/>
        <v>3.3948490393535913</v>
      </c>
      <c r="AB76" s="15">
        <f t="shared" si="83"/>
        <v>3.4416565778706043</v>
      </c>
      <c r="AC76" s="15">
        <f t="shared" si="84"/>
        <v>3.4907019351414124</v>
      </c>
      <c r="AD76" s="15">
        <f t="shared" si="85"/>
        <v>3.5418921496849678</v>
      </c>
      <c r="AE76" s="15">
        <f t="shared" si="86"/>
        <v>3.5951356024495098</v>
      </c>
      <c r="AF76" s="15">
        <f t="shared" si="87"/>
        <v>3.6503424496887957</v>
      </c>
      <c r="AG76" s="15">
        <f t="shared" si="88"/>
        <v>3.7074249823833259</v>
      </c>
      <c r="AH76" s="15">
        <f t="shared" si="89"/>
        <v>3.7662979170532966</v>
      </c>
      <c r="AI76" s="15">
        <f t="shared" si="90"/>
        <v>3.826878623630491</v>
      </c>
      <c r="AJ76" s="16">
        <f t="shared" si="91"/>
        <v>3.8890872965260117</v>
      </c>
      <c r="AL76" s="43">
        <v>4</v>
      </c>
      <c r="AM76" s="15">
        <f t="shared" si="104"/>
        <v>3</v>
      </c>
      <c r="AN76" s="15">
        <f t="shared" si="92"/>
        <v>0.7495615495600404</v>
      </c>
      <c r="AO76" s="15">
        <f t="shared" si="93"/>
        <v>0.81564413474356734</v>
      </c>
      <c r="AP76" s="15">
        <f t="shared" si="94"/>
        <v>0.87426184476112645</v>
      </c>
      <c r="AQ76" s="15">
        <f t="shared" si="95"/>
        <v>0.92521072644856039</v>
      </c>
      <c r="AR76" s="15">
        <f t="shared" si="96"/>
        <v>0.96848308880168643</v>
      </c>
      <c r="AS76" s="15">
        <f t="shared" si="97"/>
        <v>1.0042335241232072</v>
      </c>
      <c r="AT76" s="15">
        <f t="shared" si="98"/>
        <v>1.0327460147491176</v>
      </c>
      <c r="AU76" s="15">
        <f t="shared" si="99"/>
        <v>1.054403252561029</v>
      </c>
      <c r="AV76" s="15">
        <f t="shared" si="100"/>
        <v>1.0696589455594274</v>
      </c>
      <c r="AW76" s="16">
        <f t="shared" si="101"/>
        <v>1.0790135602616211</v>
      </c>
    </row>
    <row r="77" spans="11:51">
      <c r="K77" s="8">
        <v>10</v>
      </c>
      <c r="L77" s="9">
        <f t="shared" si="102"/>
        <v>-0.45000000000000007</v>
      </c>
      <c r="M77" s="9">
        <f t="shared" si="81"/>
        <v>1.6140012391568974</v>
      </c>
      <c r="N77" s="9">
        <f t="shared" si="81"/>
        <v>1.710263137648707</v>
      </c>
      <c r="O77" s="17">
        <f t="shared" si="81"/>
        <v>1.8069310999592652</v>
      </c>
      <c r="P77" s="17">
        <f t="shared" si="81"/>
        <v>1.9039432764659772</v>
      </c>
      <c r="Q77" s="17">
        <f t="shared" si="81"/>
        <v>2.00124960961895</v>
      </c>
      <c r="R77" s="17">
        <f t="shared" si="81"/>
        <v>2.0988091861815357</v>
      </c>
      <c r="S77" s="17">
        <f t="shared" si="81"/>
        <v>2.1965882636488798</v>
      </c>
      <c r="T77" s="17">
        <f t="shared" si="81"/>
        <v>2.2945587811167529</v>
      </c>
      <c r="U77" s="17">
        <f t="shared" si="81"/>
        <v>2.3926972228010799</v>
      </c>
      <c r="V77" s="18">
        <f t="shared" si="81"/>
        <v>2.4909837414162301</v>
      </c>
      <c r="X77" s="44">
        <v>10</v>
      </c>
      <c r="Y77" s="23">
        <v>4</v>
      </c>
      <c r="Z77" s="23">
        <f t="shared" si="103"/>
        <v>3</v>
      </c>
      <c r="AA77" s="23">
        <f t="shared" si="82"/>
        <v>3.4066112193791649</v>
      </c>
      <c r="AB77" s="23">
        <f t="shared" si="83"/>
        <v>3.4532593299664014</v>
      </c>
      <c r="AC77" s="23">
        <f t="shared" si="84"/>
        <v>3.5021422015674921</v>
      </c>
      <c r="AD77" s="23">
        <f t="shared" si="85"/>
        <v>3.5531676008879738</v>
      </c>
      <c r="AE77" s="23">
        <f t="shared" si="86"/>
        <v>3.6062445840513924</v>
      </c>
      <c r="AF77" s="23">
        <f t="shared" si="87"/>
        <v>3.6612839278045621</v>
      </c>
      <c r="AG77" s="23">
        <f t="shared" si="88"/>
        <v>3.7181984885156414</v>
      </c>
      <c r="AH77" s="23">
        <f t="shared" si="89"/>
        <v>3.7769034936042511</v>
      </c>
      <c r="AI77" s="23">
        <f t="shared" si="90"/>
        <v>3.8373167708699789</v>
      </c>
      <c r="AJ77" s="24">
        <f t="shared" si="91"/>
        <v>3.8993589216690481</v>
      </c>
      <c r="AL77" s="44">
        <v>4</v>
      </c>
      <c r="AM77" s="23">
        <f t="shared" si="104"/>
        <v>3</v>
      </c>
      <c r="AN77" s="23">
        <f t="shared" si="92"/>
        <v>0.75470415110002875</v>
      </c>
      <c r="AO77" s="23">
        <f t="shared" si="93"/>
        <v>0.81850624368084224</v>
      </c>
      <c r="AP77" s="23">
        <f t="shared" si="94"/>
        <v>0.87515155722142635</v>
      </c>
      <c r="AQ77" s="23">
        <f t="shared" si="95"/>
        <v>0.92441598587848939</v>
      </c>
      <c r="AR77" s="23">
        <f t="shared" si="96"/>
        <v>0.96626995886595135</v>
      </c>
      <c r="AS77" s="23">
        <f t="shared" si="97"/>
        <v>1.0008450441041603</v>
      </c>
      <c r="AT77" s="23">
        <f t="shared" si="98"/>
        <v>1.0284016795250783</v>
      </c>
      <c r="AU77" s="23">
        <f t="shared" si="99"/>
        <v>1.049299086244456</v>
      </c>
      <c r="AV77" s="23">
        <f t="shared" si="100"/>
        <v>1.0639680931873923</v>
      </c>
      <c r="AW77" s="24">
        <f t="shared" si="101"/>
        <v>1.0728872994257515</v>
      </c>
    </row>
    <row r="78" spans="11:51">
      <c r="K78" s="1"/>
      <c r="L78" s="1"/>
      <c r="M78" s="1"/>
      <c r="N78" s="1"/>
      <c r="O78" s="10"/>
      <c r="P78" s="10"/>
    </row>
    <row r="79" spans="11:51" ht="30">
      <c r="K79" s="4" t="s">
        <v>18</v>
      </c>
      <c r="L79" s="5" t="s">
        <v>17</v>
      </c>
      <c r="M79" s="5">
        <v>1</v>
      </c>
      <c r="N79" s="5">
        <v>2</v>
      </c>
      <c r="O79" s="11">
        <v>3</v>
      </c>
      <c r="P79" s="11">
        <v>4</v>
      </c>
      <c r="Q79" s="11">
        <v>5</v>
      </c>
      <c r="R79" s="11">
        <v>6</v>
      </c>
      <c r="S79" s="11">
        <v>7</v>
      </c>
      <c r="T79" s="11">
        <v>8</v>
      </c>
      <c r="U79" s="11">
        <v>9</v>
      </c>
      <c r="V79" s="12">
        <v>10</v>
      </c>
    </row>
    <row r="80" spans="11:51">
      <c r="K80" s="6"/>
      <c r="L80" s="7" t="s">
        <v>125</v>
      </c>
      <c r="M80" s="7">
        <f t="shared" ref="M80:V80" si="105">$E$7+($B$17/2+$B$17*(M79-1))</f>
        <v>1.55</v>
      </c>
      <c r="N80" s="7">
        <f t="shared" si="105"/>
        <v>1.65</v>
      </c>
      <c r="O80" s="7">
        <f t="shared" si="105"/>
        <v>1.75</v>
      </c>
      <c r="P80" s="7">
        <f t="shared" si="105"/>
        <v>1.85</v>
      </c>
      <c r="Q80" s="7">
        <f t="shared" si="105"/>
        <v>1.95</v>
      </c>
      <c r="R80" s="7">
        <f t="shared" si="105"/>
        <v>2.0499999999999998</v>
      </c>
      <c r="S80" s="7">
        <f t="shared" si="105"/>
        <v>2.1500000000000004</v>
      </c>
      <c r="T80" s="7">
        <f t="shared" si="105"/>
        <v>2.25</v>
      </c>
      <c r="U80" s="7">
        <f t="shared" si="105"/>
        <v>2.35</v>
      </c>
      <c r="V80" s="7">
        <f t="shared" si="105"/>
        <v>2.4500000000000002</v>
      </c>
    </row>
    <row r="81" spans="11:51">
      <c r="K81" s="6" t="s">
        <v>19</v>
      </c>
      <c r="L81" s="7" t="s">
        <v>126</v>
      </c>
      <c r="M81" s="7"/>
      <c r="N81" s="7"/>
      <c r="O81" s="13"/>
      <c r="P81" s="13"/>
      <c r="Q81" s="15"/>
      <c r="R81" s="15"/>
      <c r="S81" s="15"/>
      <c r="T81" s="15"/>
      <c r="U81" s="15"/>
      <c r="V81" s="16"/>
      <c r="AA81" s="2" t="s">
        <v>65</v>
      </c>
      <c r="AB81" s="2" t="s">
        <v>66</v>
      </c>
      <c r="AC81" s="2" t="s">
        <v>67</v>
      </c>
      <c r="AD81" s="2" t="s">
        <v>68</v>
      </c>
      <c r="AE81" s="2" t="s">
        <v>69</v>
      </c>
      <c r="AF81" s="2" t="s">
        <v>70</v>
      </c>
      <c r="AG81" s="2" t="s">
        <v>71</v>
      </c>
      <c r="AH81" s="2" t="s">
        <v>72</v>
      </c>
      <c r="AI81" s="2" t="s">
        <v>73</v>
      </c>
      <c r="AJ81" s="2" t="s">
        <v>74</v>
      </c>
      <c r="AX81" s="2" t="s">
        <v>129</v>
      </c>
      <c r="AY81" s="2">
        <f>SUM(AN82:AW91)</f>
        <v>48.628253374184595</v>
      </c>
    </row>
    <row r="82" spans="11:51">
      <c r="K82" s="6">
        <v>1</v>
      </c>
      <c r="L82" s="7">
        <f>$B$9/2-($B$18/2+$B$18*(K82-1))</f>
        <v>0.45</v>
      </c>
      <c r="M82" s="7">
        <f t="shared" ref="M82:V91" si="106">SQRT(M$24^2+$L82^2)</f>
        <v>1.6140012391568974</v>
      </c>
      <c r="N82" s="7">
        <f t="shared" si="106"/>
        <v>1.710263137648707</v>
      </c>
      <c r="O82" s="13">
        <f t="shared" si="106"/>
        <v>1.8069310999592652</v>
      </c>
      <c r="P82" s="13">
        <f t="shared" si="106"/>
        <v>1.9039432764659772</v>
      </c>
      <c r="Q82" s="13">
        <f t="shared" si="106"/>
        <v>2.00124960961895</v>
      </c>
      <c r="R82" s="13">
        <f t="shared" si="106"/>
        <v>2.0988091861815357</v>
      </c>
      <c r="S82" s="13">
        <f t="shared" si="106"/>
        <v>2.1965882636488798</v>
      </c>
      <c r="T82" s="13">
        <f t="shared" si="106"/>
        <v>2.2945587811167529</v>
      </c>
      <c r="U82" s="13">
        <f t="shared" si="106"/>
        <v>2.3926972228010799</v>
      </c>
      <c r="V82" s="14">
        <f t="shared" si="106"/>
        <v>2.4909837414162301</v>
      </c>
      <c r="X82" s="55">
        <v>1</v>
      </c>
      <c r="Y82" s="25">
        <v>5</v>
      </c>
      <c r="Z82" s="25">
        <f>Y82*$B$19</f>
        <v>3.75</v>
      </c>
      <c r="AA82" s="25">
        <f t="shared" ref="AA82:AA91" si="107">SQRT($Z82^2+M82^2)</f>
        <v>4.082584965435502</v>
      </c>
      <c r="AB82" s="25">
        <f t="shared" ref="AB82:AB91" si="108">SQRT($Z82^2+N82^2)</f>
        <v>4.1215894992102262</v>
      </c>
      <c r="AC82" s="25">
        <f t="shared" ref="AC82:AC91" si="109">SQRT($Z82^2+O82^2)</f>
        <v>4.1626313793080456</v>
      </c>
      <c r="AD82" s="25">
        <f t="shared" ref="AD82:AD91" si="110">SQRT($Z82^2+P82^2)</f>
        <v>4.2056509603151806</v>
      </c>
      <c r="AE82" s="25">
        <f t="shared" ref="AE82:AE91" si="111">SQRT($Z82^2+Q82^2)</f>
        <v>4.2505881945914261</v>
      </c>
      <c r="AF82" s="25">
        <f t="shared" ref="AF82:AF91" si="112">SQRT($Z82^2+R82^2)</f>
        <v>4.2973829245251114</v>
      </c>
      <c r="AG82" s="25">
        <f t="shared" ref="AG82:AG91" si="113">SQRT($Z82^2+S82^2)</f>
        <v>4.3459751494917684</v>
      </c>
      <c r="AH82" s="25">
        <f t="shared" ref="AH82:AH91" si="114">SQRT($Z82^2+T82^2)</f>
        <v>4.3963052669258538</v>
      </c>
      <c r="AI82" s="25">
        <f t="shared" ref="AI82:AI91" si="115">SQRT($Z82^2+U82^2)</f>
        <v>4.4483142874576656</v>
      </c>
      <c r="AJ82" s="20">
        <f t="shared" ref="AJ82:AJ91" si="116">SQRT($Z82^2+V26^2)</f>
        <v>4.5019440245298474</v>
      </c>
      <c r="AL82" s="55">
        <v>5</v>
      </c>
      <c r="AM82" s="25">
        <f>AL82*$B$19</f>
        <v>3.75</v>
      </c>
      <c r="AN82" s="25">
        <f t="shared" ref="AN82:AN91" si="117">$B$20/(2*PI())*(3*M82^2*$AM82/AA82^5-(1-2*$B$11)/(AA82*(AA82+$AM82)))*(M$80/M82)</f>
        <v>0.32307552870819645</v>
      </c>
      <c r="AO82" s="25">
        <f t="shared" ref="AO82:AO91" si="118">$B$20/(2*PI())*(3*N82^2*$AM82/AB82^5-(1-2*$B$11)/(AB82*(AB82+$AM82)))*(N$80/N82)</f>
        <v>0.36681746025110479</v>
      </c>
      <c r="AP82" s="25">
        <f t="shared" ref="AP82:AP91" si="119">$B$20/(2*PI())*(3*O82^2*$AM82/AC82^5-(1-2*$B$11)/(AC82*(AC82+$AM82)))*(O$80/O82)</f>
        <v>0.4085232142755636</v>
      </c>
      <c r="AQ82" s="25">
        <f t="shared" ref="AQ82:AQ91" si="120">$B$20/(2*PI())*(3*P82^2*$AM82/AD82^5-(1-2*$B$11)/(AD82*(AD82+$AM82)))*(P$80/P82)</f>
        <v>0.44782988653089484</v>
      </c>
      <c r="AR82" s="25">
        <f t="shared" ref="AR82:AR91" si="121">$B$20/(2*PI())*(3*Q82^2*$AM82/AE82^5-(1-2*$B$11)/(AE82*(AE82+$AM82)))*(Q$80/Q82)</f>
        <v>0.48445359091978335</v>
      </c>
      <c r="AS82" s="25">
        <f t="shared" ref="AS82:AS91" si="122">$B$20/(2*PI())*(3*R82^2*$AM82/AF82^5-(1-2*$B$11)/(AF82*(AF82+$AM82)))*(R$80/R82)</f>
        <v>0.5181842424081704</v>
      </c>
      <c r="AT82" s="25">
        <f t="shared" ref="AT82:AT91" si="123">$B$20/(2*PI())*(3*S82^2*$AM82/AG82^5-(1-2*$B$11)/(AG82*(AG82+$AM82)))*(S$80/S82)</f>
        <v>0.54887952263706508</v>
      </c>
      <c r="AU82" s="25">
        <f t="shared" ref="AU82:AU91" si="124">$B$20/(2*PI())*(3*T82^2*$AM82/AH82^5-(1-2*$B$11)/(AH82*(AH82+$AM82)))*(T$80/T82)</f>
        <v>0.57645823651261996</v>
      </c>
      <c r="AV82" s="25">
        <f t="shared" ref="AV82:AV91" si="125">$B$20/(2*PI())*(3*U82^2*$AM82/AI82^5-(1-2*$B$11)/(AI82*(AI82+$AM82)))*(U$80/U82)</f>
        <v>0.60089329665166302</v>
      </c>
      <c r="AW82" s="20">
        <f t="shared" ref="AW82:AW91" si="126">$B$20/(2*PI())*(3*V82^2*$AM82/AJ82^5-(1-2*$B$11)/(AJ82*(AJ82+$AM82)))*(V$80/V82)</f>
        <v>0.62220456957291315</v>
      </c>
    </row>
    <row r="83" spans="11:51">
      <c r="K83" s="6">
        <v>2</v>
      </c>
      <c r="L83" s="7">
        <f t="shared" ref="L83:L91" si="127">$B$9/2-($B$18/2+$B$18*(K83-1))</f>
        <v>0.35</v>
      </c>
      <c r="M83" s="7">
        <f t="shared" si="106"/>
        <v>1.5890248582070705</v>
      </c>
      <c r="N83" s="7">
        <f t="shared" si="106"/>
        <v>1.6867127793432999</v>
      </c>
      <c r="O83" s="13">
        <f t="shared" si="106"/>
        <v>1.7846568297574747</v>
      </c>
      <c r="P83" s="13">
        <f t="shared" si="106"/>
        <v>1.8828170383762732</v>
      </c>
      <c r="Q83" s="13">
        <f t="shared" si="106"/>
        <v>1.9811612756158949</v>
      </c>
      <c r="R83" s="13">
        <f t="shared" si="106"/>
        <v>2.0796634343085421</v>
      </c>
      <c r="S83" s="13">
        <f t="shared" si="106"/>
        <v>2.1783020910791966</v>
      </c>
      <c r="T83" s="13">
        <f t="shared" si="106"/>
        <v>2.2770595073471398</v>
      </c>
      <c r="U83" s="13">
        <f t="shared" si="106"/>
        <v>2.3759208741033446</v>
      </c>
      <c r="V83" s="14">
        <f t="shared" si="106"/>
        <v>2.4748737341529163</v>
      </c>
      <c r="X83" s="43">
        <v>2</v>
      </c>
      <c r="Y83" s="15">
        <v>5</v>
      </c>
      <c r="Z83" s="15">
        <f t="shared" ref="Z83:Z91" si="128">Y83*$B$19</f>
        <v>3.75</v>
      </c>
      <c r="AA83" s="15">
        <f t="shared" si="107"/>
        <v>4.0727754664356342</v>
      </c>
      <c r="AB83" s="15">
        <f t="shared" si="108"/>
        <v>4.1118730525151186</v>
      </c>
      <c r="AC83" s="15">
        <f t="shared" si="109"/>
        <v>4.1530109559210171</v>
      </c>
      <c r="AD83" s="15">
        <f t="shared" si="110"/>
        <v>4.1961291686505557</v>
      </c>
      <c r="AE83" s="15">
        <f t="shared" si="111"/>
        <v>4.241167292149651</v>
      </c>
      <c r="AF83" s="15">
        <f t="shared" si="112"/>
        <v>4.2880648315994474</v>
      </c>
      <c r="AG83" s="15">
        <f t="shared" si="113"/>
        <v>4.3367614645032067</v>
      </c>
      <c r="AH83" s="15">
        <f t="shared" si="114"/>
        <v>4.387197283004264</v>
      </c>
      <c r="AI83" s="15">
        <f t="shared" si="115"/>
        <v>4.4393130099149349</v>
      </c>
      <c r="AJ83" s="16">
        <f t="shared" si="116"/>
        <v>4.4930501889028571</v>
      </c>
      <c r="AL83" s="43">
        <v>5</v>
      </c>
      <c r="AM83" s="15">
        <f t="shared" ref="AM83:AM91" si="129">AL83*$B$19</f>
        <v>3.75</v>
      </c>
      <c r="AN83" s="15">
        <f t="shared" si="117"/>
        <v>0.31672894724985207</v>
      </c>
      <c r="AO83" s="15">
        <f t="shared" si="118"/>
        <v>0.36165982217601295</v>
      </c>
      <c r="AP83" s="15">
        <f t="shared" si="119"/>
        <v>0.40444551628638725</v>
      </c>
      <c r="AQ83" s="15">
        <f t="shared" si="120"/>
        <v>0.44472901561818579</v>
      </c>
      <c r="AR83" s="15">
        <f t="shared" si="121"/>
        <v>0.48223176699007475</v>
      </c>
      <c r="AS83" s="15">
        <f t="shared" si="122"/>
        <v>0.51674880536268075</v>
      </c>
      <c r="AT83" s="15">
        <f t="shared" si="123"/>
        <v>0.54814291819225569</v>
      </c>
      <c r="AU83" s="15">
        <f t="shared" si="124"/>
        <v>0.57633809769791466</v>
      </c>
      <c r="AV83" s="15">
        <f t="shared" si="125"/>
        <v>0.60131255109438564</v>
      </c>
      <c r="AW83" s="16">
        <f t="shared" si="126"/>
        <v>0.62309152782207822</v>
      </c>
    </row>
    <row r="84" spans="11:51">
      <c r="K84" s="6">
        <v>3</v>
      </c>
      <c r="L84" s="7">
        <f t="shared" si="127"/>
        <v>0.25</v>
      </c>
      <c r="M84" s="7">
        <f t="shared" si="106"/>
        <v>1.5700318468107584</v>
      </c>
      <c r="N84" s="7">
        <f t="shared" si="106"/>
        <v>1.6688319268278635</v>
      </c>
      <c r="O84" s="13">
        <f t="shared" si="106"/>
        <v>1.7677669529663689</v>
      </c>
      <c r="P84" s="13">
        <f t="shared" si="106"/>
        <v>1.8668154702594471</v>
      </c>
      <c r="Q84" s="13">
        <f t="shared" si="106"/>
        <v>1.9659603251337499</v>
      </c>
      <c r="R84" s="13">
        <f t="shared" si="106"/>
        <v>2.0651876428063383</v>
      </c>
      <c r="S84" s="13">
        <f t="shared" si="106"/>
        <v>2.1644860821913365</v>
      </c>
      <c r="T84" s="13">
        <f t="shared" si="106"/>
        <v>2.2638462845343543</v>
      </c>
      <c r="U84" s="13">
        <f t="shared" si="106"/>
        <v>2.363260459619295</v>
      </c>
      <c r="V84" s="14">
        <f t="shared" si="106"/>
        <v>2.4627220712049507</v>
      </c>
      <c r="X84" s="43">
        <v>3</v>
      </c>
      <c r="Y84" s="15">
        <v>5</v>
      </c>
      <c r="Z84" s="15">
        <f t="shared" si="128"/>
        <v>3.75</v>
      </c>
      <c r="AA84" s="15">
        <f t="shared" si="107"/>
        <v>4.0654028090707079</v>
      </c>
      <c r="AB84" s="15">
        <f t="shared" si="108"/>
        <v>4.1045706230981089</v>
      </c>
      <c r="AC84" s="15">
        <f t="shared" si="109"/>
        <v>4.1457809879442502</v>
      </c>
      <c r="AD84" s="15">
        <f t="shared" si="110"/>
        <v>4.1889736213062978</v>
      </c>
      <c r="AE84" s="15">
        <f t="shared" si="111"/>
        <v>4.2340878592679205</v>
      </c>
      <c r="AF84" s="15">
        <f t="shared" si="112"/>
        <v>4.281062952118317</v>
      </c>
      <c r="AG84" s="15">
        <f t="shared" si="113"/>
        <v>4.3298383341644531</v>
      </c>
      <c r="AH84" s="15">
        <f t="shared" si="114"/>
        <v>4.3803538669838078</v>
      </c>
      <c r="AI84" s="15">
        <f t="shared" si="115"/>
        <v>4.4325500561189379</v>
      </c>
      <c r="AJ84" s="16">
        <f t="shared" si="116"/>
        <v>4.4863682416850272</v>
      </c>
      <c r="AL84" s="43">
        <v>5</v>
      </c>
      <c r="AM84" s="15">
        <f t="shared" si="129"/>
        <v>3.75</v>
      </c>
      <c r="AN84" s="15">
        <f t="shared" si="117"/>
        <v>0.31168057125588033</v>
      </c>
      <c r="AO84" s="15">
        <f t="shared" si="118"/>
        <v>0.35755544611939744</v>
      </c>
      <c r="AP84" s="15">
        <f t="shared" si="119"/>
        <v>0.4011935228637496</v>
      </c>
      <c r="AQ84" s="15">
        <f t="shared" si="120"/>
        <v>0.44224445339443091</v>
      </c>
      <c r="AR84" s="15">
        <f t="shared" si="121"/>
        <v>0.4804352937370675</v>
      </c>
      <c r="AS84" s="15">
        <f t="shared" si="122"/>
        <v>0.51556610020025184</v>
      </c>
      <c r="AT84" s="15">
        <f t="shared" si="123"/>
        <v>0.54750437818659614</v>
      </c>
      <c r="AU84" s="15">
        <f t="shared" si="124"/>
        <v>0.57617869471229255</v>
      </c>
      <c r="AV84" s="15">
        <f t="shared" si="125"/>
        <v>0.60157176667621137</v>
      </c>
      <c r="AW84" s="16">
        <f t="shared" si="126"/>
        <v>0.62371331335965241</v>
      </c>
    </row>
    <row r="85" spans="11:51">
      <c r="K85" s="6">
        <v>4</v>
      </c>
      <c r="L85" s="7">
        <f t="shared" si="127"/>
        <v>0.14999999999999997</v>
      </c>
      <c r="M85" s="7">
        <f t="shared" si="106"/>
        <v>1.5572411502397439</v>
      </c>
      <c r="N85" s="7">
        <f t="shared" si="106"/>
        <v>1.656804152578089</v>
      </c>
      <c r="O85" s="13">
        <f t="shared" si="106"/>
        <v>1.7564168070250297</v>
      </c>
      <c r="P85" s="13">
        <f t="shared" si="106"/>
        <v>1.8560711193270587</v>
      </c>
      <c r="Q85" s="13">
        <f t="shared" si="106"/>
        <v>1.9557607215607946</v>
      </c>
      <c r="R85" s="13">
        <f t="shared" si="106"/>
        <v>2.0554804791094465</v>
      </c>
      <c r="S85" s="13">
        <f t="shared" si="106"/>
        <v>2.155226206225231</v>
      </c>
      <c r="T85" s="13">
        <f t="shared" si="106"/>
        <v>2.2549944567559361</v>
      </c>
      <c r="U85" s="13">
        <f t="shared" si="106"/>
        <v>2.3547823678633235</v>
      </c>
      <c r="V85" s="14">
        <f t="shared" si="106"/>
        <v>2.4545875417267156</v>
      </c>
      <c r="X85" s="43">
        <v>4</v>
      </c>
      <c r="Y85" s="15">
        <v>5</v>
      </c>
      <c r="Z85" s="15">
        <f t="shared" si="128"/>
        <v>3.75</v>
      </c>
      <c r="AA85" s="15">
        <f t="shared" si="107"/>
        <v>4.060480267160524</v>
      </c>
      <c r="AB85" s="15">
        <f t="shared" si="108"/>
        <v>4.0996951106149346</v>
      </c>
      <c r="AC85" s="15">
        <f t="shared" si="109"/>
        <v>4.1409539963636401</v>
      </c>
      <c r="AD85" s="15">
        <f t="shared" si="110"/>
        <v>4.1841964581027984</v>
      </c>
      <c r="AE85" s="15">
        <f t="shared" si="111"/>
        <v>4.2293616539615053</v>
      </c>
      <c r="AF85" s="15">
        <f t="shared" si="112"/>
        <v>4.2763886633466797</v>
      </c>
      <c r="AG85" s="15">
        <f t="shared" si="113"/>
        <v>4.3252167575741218</v>
      </c>
      <c r="AH85" s="15">
        <f t="shared" si="114"/>
        <v>4.3757856437444467</v>
      </c>
      <c r="AI85" s="15">
        <f t="shared" si="115"/>
        <v>4.4280356818797202</v>
      </c>
      <c r="AJ85" s="16">
        <f t="shared" si="116"/>
        <v>4.4819080758087839</v>
      </c>
      <c r="AL85" s="43">
        <v>5</v>
      </c>
      <c r="AM85" s="15">
        <f t="shared" si="129"/>
        <v>3.75</v>
      </c>
      <c r="AN85" s="15">
        <f t="shared" si="117"/>
        <v>0.30817033023245755</v>
      </c>
      <c r="AO85" s="15">
        <f t="shared" si="118"/>
        <v>0.3547012934385389</v>
      </c>
      <c r="AP85" s="15">
        <f t="shared" si="119"/>
        <v>0.39892914738407914</v>
      </c>
      <c r="AQ85" s="15">
        <f t="shared" si="120"/>
        <v>0.44050923502324696</v>
      </c>
      <c r="AR85" s="15">
        <f t="shared" si="121"/>
        <v>0.4791732300292792</v>
      </c>
      <c r="AS85" s="15">
        <f t="shared" si="122"/>
        <v>0.51472517149703145</v>
      </c>
      <c r="AT85" s="15">
        <f t="shared" si="123"/>
        <v>0.54703618176242697</v>
      </c>
      <c r="AU85" s="15">
        <f t="shared" si="124"/>
        <v>0.57603823673406718</v>
      </c>
      <c r="AV85" s="15">
        <f t="shared" si="125"/>
        <v>0.6017173395112263</v>
      </c>
      <c r="AW85" s="16">
        <f t="shared" si="126"/>
        <v>0.62410641187883809</v>
      </c>
    </row>
    <row r="86" spans="11:51">
      <c r="K86" s="6">
        <v>5</v>
      </c>
      <c r="L86" s="7">
        <f t="shared" si="127"/>
        <v>4.9999999999999989E-2</v>
      </c>
      <c r="M86" s="7">
        <f t="shared" si="106"/>
        <v>1.5508062419270823</v>
      </c>
      <c r="N86" s="7">
        <f t="shared" si="106"/>
        <v>1.6507574019219178</v>
      </c>
      <c r="O86" s="13">
        <f t="shared" si="106"/>
        <v>1.7507141400011597</v>
      </c>
      <c r="P86" s="13">
        <f t="shared" si="106"/>
        <v>1.8506755523321747</v>
      </c>
      <c r="Q86" s="13">
        <f t="shared" si="106"/>
        <v>1.9506409203131159</v>
      </c>
      <c r="R86" s="13">
        <f t="shared" si="106"/>
        <v>2.0506096654409878</v>
      </c>
      <c r="S86" s="13">
        <f t="shared" si="106"/>
        <v>2.1505813167606571</v>
      </c>
      <c r="T86" s="13">
        <f t="shared" si="106"/>
        <v>2.2505554869853799</v>
      </c>
      <c r="U86" s="13">
        <f t="shared" si="106"/>
        <v>2.350531854708632</v>
      </c>
      <c r="V86" s="14">
        <f t="shared" si="106"/>
        <v>2.4505101509685696</v>
      </c>
      <c r="X86" s="43">
        <v>5</v>
      </c>
      <c r="Y86" s="15">
        <v>5</v>
      </c>
      <c r="Z86" s="15">
        <f t="shared" si="128"/>
        <v>3.75</v>
      </c>
      <c r="AA86" s="15">
        <f t="shared" si="107"/>
        <v>4.0580167569885663</v>
      </c>
      <c r="AB86" s="15">
        <f t="shared" si="108"/>
        <v>4.0972551787751765</v>
      </c>
      <c r="AC86" s="15">
        <f t="shared" si="109"/>
        <v>4.1385383893350562</v>
      </c>
      <c r="AD86" s="15">
        <f t="shared" si="110"/>
        <v>4.1818058300212844</v>
      </c>
      <c r="AE86" s="15">
        <f t="shared" si="111"/>
        <v>4.2269965696697698</v>
      </c>
      <c r="AF86" s="15">
        <f t="shared" si="112"/>
        <v>4.2740496019583114</v>
      </c>
      <c r="AG86" s="15">
        <f t="shared" si="113"/>
        <v>4.3229041164476456</v>
      </c>
      <c r="AH86" s="15">
        <f t="shared" si="114"/>
        <v>4.3734997427689422</v>
      </c>
      <c r="AI86" s="15">
        <f t="shared" si="115"/>
        <v>4.4257767679809614</v>
      </c>
      <c r="AJ86" s="16">
        <f t="shared" si="116"/>
        <v>4.4796763275933236</v>
      </c>
      <c r="AL86" s="43">
        <v>5</v>
      </c>
      <c r="AM86" s="15">
        <f t="shared" si="129"/>
        <v>3.75</v>
      </c>
      <c r="AN86" s="15">
        <f t="shared" si="117"/>
        <v>0.30637026253827437</v>
      </c>
      <c r="AO86" s="15">
        <f t="shared" si="118"/>
        <v>0.35323769776105629</v>
      </c>
      <c r="AP86" s="15">
        <f t="shared" si="119"/>
        <v>0.39776717962224711</v>
      </c>
      <c r="AQ86" s="15">
        <f t="shared" si="120"/>
        <v>0.43961731081962502</v>
      </c>
      <c r="AR86" s="15">
        <f t="shared" si="121"/>
        <v>0.47852236231792106</v>
      </c>
      <c r="AS86" s="15">
        <f t="shared" si="122"/>
        <v>0.51428857125081673</v>
      </c>
      <c r="AT86" s="15">
        <f t="shared" si="123"/>
        <v>0.54678902053435718</v>
      </c>
      <c r="AU86" s="15">
        <f t="shared" si="124"/>
        <v>0.57595750543155622</v>
      </c>
      <c r="AV86" s="15">
        <f t="shared" si="125"/>
        <v>0.60178176106353443</v>
      </c>
      <c r="AW86" s="16">
        <f t="shared" si="126"/>
        <v>0.62429638079839611</v>
      </c>
    </row>
    <row r="87" spans="11:51">
      <c r="K87" s="6">
        <v>6</v>
      </c>
      <c r="L87" s="7">
        <f t="shared" si="127"/>
        <v>-5.0000000000000044E-2</v>
      </c>
      <c r="M87" s="7">
        <f t="shared" si="106"/>
        <v>1.5508062419270823</v>
      </c>
      <c r="N87" s="7">
        <f t="shared" si="106"/>
        <v>1.6507574019219178</v>
      </c>
      <c r="O87" s="13">
        <f t="shared" si="106"/>
        <v>1.7507141400011597</v>
      </c>
      <c r="P87" s="13">
        <f t="shared" si="106"/>
        <v>1.8506755523321747</v>
      </c>
      <c r="Q87" s="13">
        <f t="shared" si="106"/>
        <v>1.9506409203131159</v>
      </c>
      <c r="R87" s="13">
        <f t="shared" si="106"/>
        <v>2.0506096654409878</v>
      </c>
      <c r="S87" s="13">
        <f t="shared" si="106"/>
        <v>2.1505813167606571</v>
      </c>
      <c r="T87" s="13">
        <f t="shared" si="106"/>
        <v>2.2505554869853799</v>
      </c>
      <c r="U87" s="13">
        <f t="shared" si="106"/>
        <v>2.350531854708632</v>
      </c>
      <c r="V87" s="14">
        <f t="shared" si="106"/>
        <v>2.4505101509685696</v>
      </c>
      <c r="X87" s="43">
        <v>6</v>
      </c>
      <c r="Y87" s="15">
        <v>5</v>
      </c>
      <c r="Z87" s="15">
        <f t="shared" si="128"/>
        <v>3.75</v>
      </c>
      <c r="AA87" s="15">
        <f t="shared" si="107"/>
        <v>4.0580167569885663</v>
      </c>
      <c r="AB87" s="15">
        <f t="shared" si="108"/>
        <v>4.0972551787751765</v>
      </c>
      <c r="AC87" s="15">
        <f t="shared" si="109"/>
        <v>4.1385383893350562</v>
      </c>
      <c r="AD87" s="15">
        <f t="shared" si="110"/>
        <v>4.1818058300212844</v>
      </c>
      <c r="AE87" s="15">
        <f t="shared" si="111"/>
        <v>4.2269965696697698</v>
      </c>
      <c r="AF87" s="15">
        <f t="shared" si="112"/>
        <v>4.2740496019583114</v>
      </c>
      <c r="AG87" s="15">
        <f t="shared" si="113"/>
        <v>4.3229041164476456</v>
      </c>
      <c r="AH87" s="15">
        <f t="shared" si="114"/>
        <v>4.3734997427689422</v>
      </c>
      <c r="AI87" s="15">
        <f t="shared" si="115"/>
        <v>4.4257767679809614</v>
      </c>
      <c r="AJ87" s="16">
        <f t="shared" si="116"/>
        <v>4.4796763275933236</v>
      </c>
      <c r="AL87" s="43">
        <v>5</v>
      </c>
      <c r="AM87" s="15">
        <f t="shared" si="129"/>
        <v>3.75</v>
      </c>
      <c r="AN87" s="15">
        <f t="shared" si="117"/>
        <v>0.30637026253827437</v>
      </c>
      <c r="AO87" s="15">
        <f t="shared" si="118"/>
        <v>0.35323769776105629</v>
      </c>
      <c r="AP87" s="15">
        <f t="shared" si="119"/>
        <v>0.39776717962224711</v>
      </c>
      <c r="AQ87" s="15">
        <f t="shared" si="120"/>
        <v>0.43961731081962502</v>
      </c>
      <c r="AR87" s="15">
        <f t="shared" si="121"/>
        <v>0.47852236231792106</v>
      </c>
      <c r="AS87" s="15">
        <f t="shared" si="122"/>
        <v>0.51428857125081673</v>
      </c>
      <c r="AT87" s="15">
        <f t="shared" si="123"/>
        <v>0.54678902053435718</v>
      </c>
      <c r="AU87" s="15">
        <f t="shared" si="124"/>
        <v>0.57595750543155622</v>
      </c>
      <c r="AV87" s="15">
        <f t="shared" si="125"/>
        <v>0.60178176106353443</v>
      </c>
      <c r="AW87" s="16">
        <f t="shared" si="126"/>
        <v>0.62429638079839611</v>
      </c>
    </row>
    <row r="88" spans="11:51">
      <c r="K88" s="6">
        <v>7</v>
      </c>
      <c r="L88" s="7">
        <f t="shared" si="127"/>
        <v>-0.15000000000000013</v>
      </c>
      <c r="M88" s="7">
        <f t="shared" si="106"/>
        <v>1.5572411502397439</v>
      </c>
      <c r="N88" s="7">
        <f t="shared" si="106"/>
        <v>1.656804152578089</v>
      </c>
      <c r="O88" s="13">
        <f t="shared" si="106"/>
        <v>1.7564168070250297</v>
      </c>
      <c r="P88" s="13">
        <f t="shared" si="106"/>
        <v>1.8560711193270587</v>
      </c>
      <c r="Q88" s="13">
        <f t="shared" si="106"/>
        <v>1.9557607215607946</v>
      </c>
      <c r="R88" s="13">
        <f t="shared" si="106"/>
        <v>2.0554804791094465</v>
      </c>
      <c r="S88" s="13">
        <f t="shared" si="106"/>
        <v>2.155226206225231</v>
      </c>
      <c r="T88" s="13">
        <f t="shared" si="106"/>
        <v>2.2549944567559361</v>
      </c>
      <c r="U88" s="13">
        <f t="shared" si="106"/>
        <v>2.3547823678633235</v>
      </c>
      <c r="V88" s="14">
        <f t="shared" si="106"/>
        <v>2.4545875417267156</v>
      </c>
      <c r="X88" s="43">
        <v>7</v>
      </c>
      <c r="Y88" s="15">
        <v>5</v>
      </c>
      <c r="Z88" s="15">
        <f t="shared" si="128"/>
        <v>3.75</v>
      </c>
      <c r="AA88" s="15">
        <f t="shared" si="107"/>
        <v>4.060480267160524</v>
      </c>
      <c r="AB88" s="15">
        <f t="shared" si="108"/>
        <v>4.0996951106149346</v>
      </c>
      <c r="AC88" s="15">
        <f t="shared" si="109"/>
        <v>4.1409539963636401</v>
      </c>
      <c r="AD88" s="15">
        <f t="shared" si="110"/>
        <v>4.1841964581027984</v>
      </c>
      <c r="AE88" s="15">
        <f t="shared" si="111"/>
        <v>4.2293616539615053</v>
      </c>
      <c r="AF88" s="15">
        <f t="shared" si="112"/>
        <v>4.2763886633466797</v>
      </c>
      <c r="AG88" s="15">
        <f t="shared" si="113"/>
        <v>4.3252167575741218</v>
      </c>
      <c r="AH88" s="15">
        <f t="shared" si="114"/>
        <v>4.3757856437444467</v>
      </c>
      <c r="AI88" s="15">
        <f t="shared" si="115"/>
        <v>4.4280356818797202</v>
      </c>
      <c r="AJ88" s="16">
        <f t="shared" si="116"/>
        <v>4.4819080758087839</v>
      </c>
      <c r="AL88" s="43">
        <v>5</v>
      </c>
      <c r="AM88" s="15">
        <f t="shared" si="129"/>
        <v>3.75</v>
      </c>
      <c r="AN88" s="15">
        <f t="shared" si="117"/>
        <v>0.30817033023245755</v>
      </c>
      <c r="AO88" s="15">
        <f t="shared" si="118"/>
        <v>0.3547012934385389</v>
      </c>
      <c r="AP88" s="15">
        <f t="shared" si="119"/>
        <v>0.39892914738407914</v>
      </c>
      <c r="AQ88" s="15">
        <f t="shared" si="120"/>
        <v>0.44050923502324696</v>
      </c>
      <c r="AR88" s="15">
        <f t="shared" si="121"/>
        <v>0.4791732300292792</v>
      </c>
      <c r="AS88" s="15">
        <f t="shared" si="122"/>
        <v>0.51472517149703145</v>
      </c>
      <c r="AT88" s="15">
        <f t="shared" si="123"/>
        <v>0.54703618176242697</v>
      </c>
      <c r="AU88" s="15">
        <f t="shared" si="124"/>
        <v>0.57603823673406718</v>
      </c>
      <c r="AV88" s="15">
        <f t="shared" si="125"/>
        <v>0.6017173395112263</v>
      </c>
      <c r="AW88" s="16">
        <f t="shared" si="126"/>
        <v>0.62410641187883809</v>
      </c>
    </row>
    <row r="89" spans="11:51">
      <c r="K89" s="6">
        <v>8</v>
      </c>
      <c r="L89" s="7">
        <f t="shared" si="127"/>
        <v>-0.25000000000000011</v>
      </c>
      <c r="M89" s="7">
        <f t="shared" si="106"/>
        <v>1.5700318468107584</v>
      </c>
      <c r="N89" s="7">
        <f t="shared" si="106"/>
        <v>1.6688319268278635</v>
      </c>
      <c r="O89" s="13">
        <f t="shared" si="106"/>
        <v>1.7677669529663689</v>
      </c>
      <c r="P89" s="13">
        <f t="shared" si="106"/>
        <v>1.8668154702594471</v>
      </c>
      <c r="Q89" s="13">
        <f t="shared" si="106"/>
        <v>1.9659603251337499</v>
      </c>
      <c r="R89" s="13">
        <f t="shared" si="106"/>
        <v>2.0651876428063383</v>
      </c>
      <c r="S89" s="13">
        <f t="shared" si="106"/>
        <v>2.1644860821913365</v>
      </c>
      <c r="T89" s="13">
        <f t="shared" si="106"/>
        <v>2.2638462845343543</v>
      </c>
      <c r="U89" s="13">
        <f t="shared" si="106"/>
        <v>2.363260459619295</v>
      </c>
      <c r="V89" s="14">
        <f t="shared" si="106"/>
        <v>2.4627220712049507</v>
      </c>
      <c r="X89" s="43">
        <v>8</v>
      </c>
      <c r="Y89" s="15">
        <v>5</v>
      </c>
      <c r="Z89" s="15">
        <f t="shared" si="128"/>
        <v>3.75</v>
      </c>
      <c r="AA89" s="15">
        <f t="shared" si="107"/>
        <v>4.0654028090707079</v>
      </c>
      <c r="AB89" s="15">
        <f t="shared" si="108"/>
        <v>4.1045706230981089</v>
      </c>
      <c r="AC89" s="15">
        <f t="shared" si="109"/>
        <v>4.1457809879442502</v>
      </c>
      <c r="AD89" s="15">
        <f t="shared" si="110"/>
        <v>4.1889736213062978</v>
      </c>
      <c r="AE89" s="15">
        <f t="shared" si="111"/>
        <v>4.2340878592679205</v>
      </c>
      <c r="AF89" s="15">
        <f t="shared" si="112"/>
        <v>4.281062952118317</v>
      </c>
      <c r="AG89" s="15">
        <f t="shared" si="113"/>
        <v>4.3298383341644531</v>
      </c>
      <c r="AH89" s="15">
        <f t="shared" si="114"/>
        <v>4.3803538669838078</v>
      </c>
      <c r="AI89" s="15">
        <f t="shared" si="115"/>
        <v>4.4325500561189379</v>
      </c>
      <c r="AJ89" s="16">
        <f t="shared" si="116"/>
        <v>4.4863682416850272</v>
      </c>
      <c r="AL89" s="43">
        <v>5</v>
      </c>
      <c r="AM89" s="15">
        <f t="shared" si="129"/>
        <v>3.75</v>
      </c>
      <c r="AN89" s="15">
        <f t="shared" si="117"/>
        <v>0.31168057125588033</v>
      </c>
      <c r="AO89" s="15">
        <f t="shared" si="118"/>
        <v>0.35755544611939744</v>
      </c>
      <c r="AP89" s="15">
        <f t="shared" si="119"/>
        <v>0.4011935228637496</v>
      </c>
      <c r="AQ89" s="15">
        <f t="shared" si="120"/>
        <v>0.44224445339443091</v>
      </c>
      <c r="AR89" s="15">
        <f t="shared" si="121"/>
        <v>0.4804352937370675</v>
      </c>
      <c r="AS89" s="15">
        <f t="shared" si="122"/>
        <v>0.51556610020025184</v>
      </c>
      <c r="AT89" s="15">
        <f t="shared" si="123"/>
        <v>0.54750437818659614</v>
      </c>
      <c r="AU89" s="15">
        <f t="shared" si="124"/>
        <v>0.57617869471229255</v>
      </c>
      <c r="AV89" s="15">
        <f t="shared" si="125"/>
        <v>0.60157176667621137</v>
      </c>
      <c r="AW89" s="16">
        <f t="shared" si="126"/>
        <v>0.62371331335965241</v>
      </c>
    </row>
    <row r="90" spans="11:51">
      <c r="K90" s="6">
        <v>9</v>
      </c>
      <c r="L90" s="7">
        <f t="shared" si="127"/>
        <v>-0.35000000000000009</v>
      </c>
      <c r="M90" s="7">
        <f t="shared" si="106"/>
        <v>1.5890248582070705</v>
      </c>
      <c r="N90" s="7">
        <f t="shared" si="106"/>
        <v>1.6867127793432999</v>
      </c>
      <c r="O90" s="13">
        <f t="shared" si="106"/>
        <v>1.7846568297574747</v>
      </c>
      <c r="P90" s="13">
        <f t="shared" si="106"/>
        <v>1.8828170383762732</v>
      </c>
      <c r="Q90" s="13">
        <f t="shared" si="106"/>
        <v>1.9811612756158949</v>
      </c>
      <c r="R90" s="13">
        <f t="shared" si="106"/>
        <v>2.0796634343085421</v>
      </c>
      <c r="S90" s="13">
        <f t="shared" si="106"/>
        <v>2.178302091079197</v>
      </c>
      <c r="T90" s="13">
        <f t="shared" si="106"/>
        <v>2.2770595073471402</v>
      </c>
      <c r="U90" s="13">
        <f t="shared" si="106"/>
        <v>2.3759208741033446</v>
      </c>
      <c r="V90" s="14">
        <f t="shared" si="106"/>
        <v>2.4748737341529168</v>
      </c>
      <c r="X90" s="43">
        <v>9</v>
      </c>
      <c r="Y90" s="15">
        <v>5</v>
      </c>
      <c r="Z90" s="15">
        <f t="shared" si="128"/>
        <v>3.75</v>
      </c>
      <c r="AA90" s="15">
        <f t="shared" si="107"/>
        <v>4.0727754664356342</v>
      </c>
      <c r="AB90" s="15">
        <f t="shared" si="108"/>
        <v>4.1118730525151186</v>
      </c>
      <c r="AC90" s="15">
        <f t="shared" si="109"/>
        <v>4.1530109559210171</v>
      </c>
      <c r="AD90" s="15">
        <f t="shared" si="110"/>
        <v>4.1961291686505557</v>
      </c>
      <c r="AE90" s="15">
        <f t="shared" si="111"/>
        <v>4.241167292149651</v>
      </c>
      <c r="AF90" s="15">
        <f t="shared" si="112"/>
        <v>4.2880648315994474</v>
      </c>
      <c r="AG90" s="15">
        <f t="shared" si="113"/>
        <v>4.3367614645032075</v>
      </c>
      <c r="AH90" s="15">
        <f t="shared" si="114"/>
        <v>4.3871972830042649</v>
      </c>
      <c r="AI90" s="15">
        <f t="shared" si="115"/>
        <v>4.4393130099149349</v>
      </c>
      <c r="AJ90" s="16">
        <f t="shared" si="116"/>
        <v>4.4930501889028571</v>
      </c>
      <c r="AL90" s="43">
        <v>5</v>
      </c>
      <c r="AM90" s="15">
        <f t="shared" si="129"/>
        <v>3.75</v>
      </c>
      <c r="AN90" s="15">
        <f t="shared" si="117"/>
        <v>0.31672894724985207</v>
      </c>
      <c r="AO90" s="15">
        <f t="shared" si="118"/>
        <v>0.36165982217601295</v>
      </c>
      <c r="AP90" s="15">
        <f t="shared" si="119"/>
        <v>0.40444551628638725</v>
      </c>
      <c r="AQ90" s="15">
        <f t="shared" si="120"/>
        <v>0.44472901561818579</v>
      </c>
      <c r="AR90" s="15">
        <f t="shared" si="121"/>
        <v>0.48223176699007475</v>
      </c>
      <c r="AS90" s="15">
        <f t="shared" si="122"/>
        <v>0.51674880536268075</v>
      </c>
      <c r="AT90" s="15">
        <f t="shared" si="123"/>
        <v>0.54814291819225558</v>
      </c>
      <c r="AU90" s="15">
        <f t="shared" si="124"/>
        <v>0.57633809769791389</v>
      </c>
      <c r="AV90" s="15">
        <f t="shared" si="125"/>
        <v>0.60131255109438564</v>
      </c>
      <c r="AW90" s="16">
        <f t="shared" si="126"/>
        <v>0.62309152782207844</v>
      </c>
    </row>
    <row r="91" spans="11:51">
      <c r="K91" s="8">
        <v>10</v>
      </c>
      <c r="L91" s="9">
        <f t="shared" si="127"/>
        <v>-0.45000000000000007</v>
      </c>
      <c r="M91" s="9">
        <f t="shared" si="106"/>
        <v>1.6140012391568974</v>
      </c>
      <c r="N91" s="9">
        <f t="shared" si="106"/>
        <v>1.710263137648707</v>
      </c>
      <c r="O91" s="17">
        <f t="shared" si="106"/>
        <v>1.8069310999592652</v>
      </c>
      <c r="P91" s="17">
        <f t="shared" si="106"/>
        <v>1.9039432764659772</v>
      </c>
      <c r="Q91" s="17">
        <f t="shared" si="106"/>
        <v>2.00124960961895</v>
      </c>
      <c r="R91" s="17">
        <f t="shared" si="106"/>
        <v>2.0988091861815357</v>
      </c>
      <c r="S91" s="17">
        <f t="shared" si="106"/>
        <v>2.1965882636488798</v>
      </c>
      <c r="T91" s="17">
        <f t="shared" si="106"/>
        <v>2.2945587811167529</v>
      </c>
      <c r="U91" s="17">
        <f t="shared" si="106"/>
        <v>2.3926972228010799</v>
      </c>
      <c r="V91" s="18">
        <f t="shared" si="106"/>
        <v>2.4909837414162301</v>
      </c>
      <c r="X91" s="44">
        <v>10</v>
      </c>
      <c r="Y91" s="23">
        <v>5</v>
      </c>
      <c r="Z91" s="23">
        <f t="shared" si="128"/>
        <v>3.75</v>
      </c>
      <c r="AA91" s="23">
        <f t="shared" si="107"/>
        <v>4.082584965435502</v>
      </c>
      <c r="AB91" s="23">
        <f t="shared" si="108"/>
        <v>4.1215894992102262</v>
      </c>
      <c r="AC91" s="23">
        <f t="shared" si="109"/>
        <v>4.1626313793080456</v>
      </c>
      <c r="AD91" s="23">
        <f t="shared" si="110"/>
        <v>4.2056509603151806</v>
      </c>
      <c r="AE91" s="23">
        <f t="shared" si="111"/>
        <v>4.2505881945914261</v>
      </c>
      <c r="AF91" s="23">
        <f t="shared" si="112"/>
        <v>4.2973829245251114</v>
      </c>
      <c r="AG91" s="23">
        <f t="shared" si="113"/>
        <v>4.3459751494917684</v>
      </c>
      <c r="AH91" s="23">
        <f t="shared" si="114"/>
        <v>4.3963052669258538</v>
      </c>
      <c r="AI91" s="23">
        <f t="shared" si="115"/>
        <v>4.4483142874576656</v>
      </c>
      <c r="AJ91" s="24">
        <f t="shared" si="116"/>
        <v>4.5019440245298474</v>
      </c>
      <c r="AL91" s="44">
        <v>5</v>
      </c>
      <c r="AM91" s="23">
        <f t="shared" si="129"/>
        <v>3.75</v>
      </c>
      <c r="AN91" s="23">
        <f t="shared" si="117"/>
        <v>0.32307552870819645</v>
      </c>
      <c r="AO91" s="23">
        <f t="shared" si="118"/>
        <v>0.36681746025110479</v>
      </c>
      <c r="AP91" s="23">
        <f t="shared" si="119"/>
        <v>0.4085232142755636</v>
      </c>
      <c r="AQ91" s="23">
        <f t="shared" si="120"/>
        <v>0.44782988653089484</v>
      </c>
      <c r="AR91" s="23">
        <f t="shared" si="121"/>
        <v>0.48445359091978335</v>
      </c>
      <c r="AS91" s="23">
        <f t="shared" si="122"/>
        <v>0.5181842424081704</v>
      </c>
      <c r="AT91" s="23">
        <f t="shared" si="123"/>
        <v>0.54887952263706508</v>
      </c>
      <c r="AU91" s="23">
        <f t="shared" si="124"/>
        <v>0.57645823651261996</v>
      </c>
      <c r="AV91" s="23">
        <f t="shared" si="125"/>
        <v>0.60089329665166302</v>
      </c>
      <c r="AW91" s="24">
        <f t="shared" si="126"/>
        <v>0.62220456957291315</v>
      </c>
    </row>
    <row r="92" spans="11:51">
      <c r="K92" s="1"/>
      <c r="L92" s="1"/>
      <c r="M92" s="1"/>
      <c r="N92" s="1"/>
      <c r="O92" s="10"/>
      <c r="P92" s="10"/>
    </row>
    <row r="93" spans="11:51" ht="30">
      <c r="K93" s="4" t="s">
        <v>18</v>
      </c>
      <c r="L93" s="5" t="s">
        <v>17</v>
      </c>
      <c r="M93" s="5">
        <v>1</v>
      </c>
      <c r="N93" s="5">
        <v>2</v>
      </c>
      <c r="O93" s="11">
        <v>3</v>
      </c>
      <c r="P93" s="11">
        <v>4</v>
      </c>
      <c r="Q93" s="11">
        <v>5</v>
      </c>
      <c r="R93" s="11">
        <v>6</v>
      </c>
      <c r="S93" s="11">
        <v>7</v>
      </c>
      <c r="T93" s="11">
        <v>8</v>
      </c>
      <c r="U93" s="11">
        <v>9</v>
      </c>
      <c r="V93" s="12">
        <v>10</v>
      </c>
    </row>
    <row r="94" spans="11:51">
      <c r="K94" s="6"/>
      <c r="L94" s="7" t="s">
        <v>125</v>
      </c>
      <c r="M94" s="7">
        <f t="shared" ref="M94:V94" si="130">$E$7+($B$17/2+$B$17*(M93-1))</f>
        <v>1.55</v>
      </c>
      <c r="N94" s="7">
        <f t="shared" si="130"/>
        <v>1.65</v>
      </c>
      <c r="O94" s="7">
        <f t="shared" si="130"/>
        <v>1.75</v>
      </c>
      <c r="P94" s="7">
        <f t="shared" si="130"/>
        <v>1.85</v>
      </c>
      <c r="Q94" s="7">
        <f t="shared" si="130"/>
        <v>1.95</v>
      </c>
      <c r="R94" s="7">
        <f t="shared" si="130"/>
        <v>2.0499999999999998</v>
      </c>
      <c r="S94" s="7">
        <f t="shared" si="130"/>
        <v>2.1500000000000004</v>
      </c>
      <c r="T94" s="7">
        <f t="shared" si="130"/>
        <v>2.25</v>
      </c>
      <c r="U94" s="7">
        <f t="shared" si="130"/>
        <v>2.35</v>
      </c>
      <c r="V94" s="7">
        <f t="shared" si="130"/>
        <v>2.4500000000000002</v>
      </c>
    </row>
    <row r="95" spans="11:51">
      <c r="K95" s="6" t="s">
        <v>19</v>
      </c>
      <c r="L95" s="7" t="s">
        <v>126</v>
      </c>
      <c r="M95" s="7"/>
      <c r="N95" s="7"/>
      <c r="O95" s="13"/>
      <c r="P95" s="13"/>
      <c r="Q95" s="15"/>
      <c r="R95" s="15"/>
      <c r="S95" s="15"/>
      <c r="T95" s="15"/>
      <c r="U95" s="15"/>
      <c r="V95" s="16"/>
      <c r="AA95" s="2" t="s">
        <v>75</v>
      </c>
      <c r="AB95" s="2" t="s">
        <v>76</v>
      </c>
      <c r="AC95" s="2" t="s">
        <v>77</v>
      </c>
      <c r="AD95" s="2" t="s">
        <v>78</v>
      </c>
      <c r="AE95" s="2" t="s">
        <v>79</v>
      </c>
      <c r="AF95" s="2" t="s">
        <v>80</v>
      </c>
      <c r="AG95" s="2" t="s">
        <v>81</v>
      </c>
      <c r="AH95" s="2" t="s">
        <v>82</v>
      </c>
      <c r="AI95" s="2" t="s">
        <v>83</v>
      </c>
      <c r="AJ95" s="2" t="s">
        <v>84</v>
      </c>
      <c r="AX95" s="2" t="s">
        <v>129</v>
      </c>
      <c r="AY95" s="2">
        <f>SUM(AN96:AW105)</f>
        <v>24.869315644387729</v>
      </c>
    </row>
    <row r="96" spans="11:51">
      <c r="K96" s="6">
        <v>1</v>
      </c>
      <c r="L96" s="7">
        <f>$B$9/2-($B$18/2+$B$18*(K96-1))</f>
        <v>0.45</v>
      </c>
      <c r="M96" s="7">
        <f t="shared" ref="M96:V105" si="131">SQRT(M$24^2+$L96^2)</f>
        <v>1.6140012391568974</v>
      </c>
      <c r="N96" s="7">
        <f t="shared" si="131"/>
        <v>1.710263137648707</v>
      </c>
      <c r="O96" s="13">
        <f t="shared" si="131"/>
        <v>1.8069310999592652</v>
      </c>
      <c r="P96" s="13">
        <f t="shared" si="131"/>
        <v>1.9039432764659772</v>
      </c>
      <c r="Q96" s="13">
        <f t="shared" si="131"/>
        <v>2.00124960961895</v>
      </c>
      <c r="R96" s="13">
        <f t="shared" si="131"/>
        <v>2.0988091861815357</v>
      </c>
      <c r="S96" s="13">
        <f t="shared" si="131"/>
        <v>2.1965882636488798</v>
      </c>
      <c r="T96" s="13">
        <f t="shared" si="131"/>
        <v>2.2945587811167529</v>
      </c>
      <c r="U96" s="13">
        <f t="shared" si="131"/>
        <v>2.3926972228010799</v>
      </c>
      <c r="V96" s="14">
        <f t="shared" si="131"/>
        <v>2.4909837414162301</v>
      </c>
      <c r="X96" s="55">
        <v>1</v>
      </c>
      <c r="Y96" s="25">
        <v>6</v>
      </c>
      <c r="Z96" s="25">
        <f>Y96*$B$19</f>
        <v>4.5</v>
      </c>
      <c r="AA96" s="25">
        <f t="shared" ref="AA96:AA105" si="132">SQRT($Z96^2+M96^2)</f>
        <v>4.7806903267206087</v>
      </c>
      <c r="AB96" s="25">
        <f t="shared" ref="AB96:AB105" si="133">SQRT($Z96^2+N96^2)</f>
        <v>4.8140419607643636</v>
      </c>
      <c r="AC96" s="25">
        <f t="shared" ref="AC96:AC105" si="134">SQRT($Z96^2+O96^2)</f>
        <v>4.8492267424817328</v>
      </c>
      <c r="AD96" s="25">
        <f t="shared" ref="AD96:AD105" si="135">SQRT($Z96^2+P96^2)</f>
        <v>4.8862050714230163</v>
      </c>
      <c r="AE96" s="25">
        <f t="shared" ref="AE96:AE105" si="136">SQRT($Z96^2+Q96^2)</f>
        <v>4.9249365478146006</v>
      </c>
      <c r="AF96" s="25">
        <f t="shared" ref="AF96:AF105" si="137">SQRT($Z96^2+R96^2)</f>
        <v>4.9653801465748826</v>
      </c>
      <c r="AG96" s="25">
        <f t="shared" ref="AG96:AG105" si="138">SQRT($Z96^2+S96^2)</f>
        <v>5.0074943834217134</v>
      </c>
      <c r="AH96" s="25">
        <f t="shared" ref="AH96:AH105" si="139">SQRT($Z96^2+T96^2)</f>
        <v>5.0512374721448206</v>
      </c>
      <c r="AI96" s="25">
        <f t="shared" ref="AI96:AI105" si="140">SQRT($Z96^2+U96^2)</f>
        <v>5.096567472328803</v>
      </c>
      <c r="AJ96" s="20">
        <f t="shared" ref="AJ96:AJ105" si="141">SQRT($Z96^2+V26^2)</f>
        <v>5.1434424270132544</v>
      </c>
      <c r="AL96" s="55">
        <v>6</v>
      </c>
      <c r="AM96" s="25">
        <f>AL96*$B$19</f>
        <v>4.5</v>
      </c>
      <c r="AN96" s="25">
        <f t="shared" ref="AN96:AN105" si="142">$B$20/(2*PI())*(3*M96^2*$AM96/AA96^5-(1-2*$B$11)/(AA96*(AA96+$AM96)))*(M$94/M96)</f>
        <v>0.13638669800552322</v>
      </c>
      <c r="AO96" s="25">
        <f t="shared" ref="AO96:AO105" si="143">$B$20/(2*PI())*(3*N96^2*$AM96/AB96^5-(1-2*$B$11)/(AB96*(AB96+$AM96)))*(N$94/N96)</f>
        <v>0.16412109097896929</v>
      </c>
      <c r="AP96" s="25">
        <f t="shared" ref="AP96:AP105" si="144">$B$20/(2*PI())*(3*O96^2*$AM96/AC96^5-(1-2*$B$11)/(AC96*(AC96+$AM96)))*(O$94/O96)</f>
        <v>0.19151707791531147</v>
      </c>
      <c r="AQ96" s="25">
        <f t="shared" ref="AQ96:AQ105" si="145">$B$20/(2*PI())*(3*P96^2*$AM96/AD96^5-(1-2*$B$11)/(AD96*(AD96+$AM96)))*(P$94/P96)</f>
        <v>0.21833391027078042</v>
      </c>
      <c r="AR96" s="25">
        <f t="shared" ref="AR96:AR105" si="146">$B$20/(2*PI())*(3*Q96^2*$AM96/AE96^5-(1-2*$B$11)/(AE96*(AE96+$AM96)))*(Q$94/Q96)</f>
        <v>0.24436002078061789</v>
      </c>
      <c r="AS96" s="25">
        <f t="shared" ref="AS96:AS105" si="147">$B$20/(2*PI())*(3*R96^2*$AM96/AF96^5-(1-2*$B$11)/(AF96*(AF96+$AM96)))*(R$94/R96)</f>
        <v>0.26941249842812148</v>
      </c>
      <c r="AT96" s="25">
        <f t="shared" ref="AT96:AT105" si="148">$B$20/(2*PI())*(3*S96^2*$AM96/AG96^5-(1-2*$B$11)/(AG96*(AG96+$AM96)))*(S$94/S96)</f>
        <v>0.29333636445867078</v>
      </c>
      <c r="AU96" s="25">
        <f t="shared" ref="AU96:AU105" si="149">$B$20/(2*PI())*(3*T96^2*$AM96/AH96^5-(1-2*$B$11)/(AH96*(AH96+$AM96)))*(T$94/T96)</f>
        <v>0.31600359306129144</v>
      </c>
      <c r="AV96" s="25">
        <f t="shared" ref="AV96:AV105" si="150">$B$20/(2*PI())*(3*U96^2*$AM96/AI96^5-(1-2*$B$11)/(AI96*(AI96+$AM96)))*(U$94/U96)</f>
        <v>0.33731186853172096</v>
      </c>
      <c r="AW96" s="20">
        <f t="shared" ref="AW96:AW105" si="151">$B$20/(2*PI())*(3*V96^2*$AM96/AJ96^5-(1-2*$B$11)/(AJ96*(AJ96+$AM96)))*(V$94/V96)</f>
        <v>0.35718310073348097</v>
      </c>
    </row>
    <row r="97" spans="11:51">
      <c r="K97" s="6">
        <v>2</v>
      </c>
      <c r="L97" s="7">
        <f t="shared" ref="L97:L105" si="152">$B$9/2-($B$18/2+$B$18*(K97-1))</f>
        <v>0.35</v>
      </c>
      <c r="M97" s="7">
        <f t="shared" si="131"/>
        <v>1.5890248582070705</v>
      </c>
      <c r="N97" s="7">
        <f t="shared" si="131"/>
        <v>1.6867127793432999</v>
      </c>
      <c r="O97" s="13">
        <f t="shared" si="131"/>
        <v>1.7846568297574747</v>
      </c>
      <c r="P97" s="13">
        <f t="shared" si="131"/>
        <v>1.8828170383762732</v>
      </c>
      <c r="Q97" s="13">
        <f t="shared" si="131"/>
        <v>1.9811612756158949</v>
      </c>
      <c r="R97" s="13">
        <f t="shared" si="131"/>
        <v>2.0796634343085421</v>
      </c>
      <c r="S97" s="13">
        <f t="shared" si="131"/>
        <v>2.1783020910791966</v>
      </c>
      <c r="T97" s="13">
        <f t="shared" si="131"/>
        <v>2.2770595073471398</v>
      </c>
      <c r="U97" s="13">
        <f t="shared" si="131"/>
        <v>2.3759208741033446</v>
      </c>
      <c r="V97" s="14">
        <f t="shared" si="131"/>
        <v>2.4748737341529163</v>
      </c>
      <c r="X97" s="43">
        <v>2</v>
      </c>
      <c r="Y97" s="15">
        <v>6</v>
      </c>
      <c r="Z97" s="15">
        <f t="shared" ref="Z97:Z105" si="153">Y97*$B$19</f>
        <v>4.5</v>
      </c>
      <c r="AA97" s="15">
        <f t="shared" si="132"/>
        <v>4.7723159995960032</v>
      </c>
      <c r="AB97" s="15">
        <f t="shared" si="133"/>
        <v>4.8057257516425134</v>
      </c>
      <c r="AC97" s="15">
        <f t="shared" si="134"/>
        <v>4.8409709769838525</v>
      </c>
      <c r="AD97" s="15">
        <f t="shared" si="135"/>
        <v>4.8780118901044105</v>
      </c>
      <c r="AE97" s="15">
        <f t="shared" si="136"/>
        <v>4.9168079075758087</v>
      </c>
      <c r="AF97" s="15">
        <f t="shared" si="137"/>
        <v>4.9573178231781752</v>
      </c>
      <c r="AG97" s="15">
        <f t="shared" si="138"/>
        <v>4.9994999749974998</v>
      </c>
      <c r="AH97" s="15">
        <f t="shared" si="139"/>
        <v>5.0433124035697015</v>
      </c>
      <c r="AI97" s="15">
        <f t="shared" si="140"/>
        <v>5.08871300035677</v>
      </c>
      <c r="AJ97" s="16">
        <f t="shared" si="141"/>
        <v>5.1356596460435346</v>
      </c>
      <c r="AL97" s="43">
        <v>6</v>
      </c>
      <c r="AM97" s="15">
        <f t="shared" ref="AM97:AM105" si="154">AL97*$B$19</f>
        <v>4.5</v>
      </c>
      <c r="AN97" s="15">
        <f t="shared" si="142"/>
        <v>0.13135149574874916</v>
      </c>
      <c r="AO97" s="15">
        <f t="shared" si="143"/>
        <v>0.159733213687518</v>
      </c>
      <c r="AP97" s="15">
        <f t="shared" si="144"/>
        <v>0.1877248686123027</v>
      </c>
      <c r="AQ97" s="15">
        <f t="shared" si="145"/>
        <v>0.21509052218904315</v>
      </c>
      <c r="AR97" s="15">
        <f t="shared" si="146"/>
        <v>0.24162227014123297</v>
      </c>
      <c r="AS97" s="15">
        <f t="shared" si="147"/>
        <v>0.26714008267746486</v>
      </c>
      <c r="AT97" s="15">
        <f t="shared" si="148"/>
        <v>0.2914913437231233</v>
      </c>
      <c r="AU97" s="15">
        <f t="shared" si="149"/>
        <v>0.31455005810218933</v>
      </c>
      <c r="AV97" s="15">
        <f t="shared" si="150"/>
        <v>0.33621573805877375</v>
      </c>
      <c r="AW97" s="16">
        <f t="shared" si="151"/>
        <v>0.35641200580045673</v>
      </c>
    </row>
    <row r="98" spans="11:51">
      <c r="K98" s="6">
        <v>3</v>
      </c>
      <c r="L98" s="7">
        <f t="shared" si="152"/>
        <v>0.25</v>
      </c>
      <c r="M98" s="7">
        <f t="shared" si="131"/>
        <v>1.5700318468107584</v>
      </c>
      <c r="N98" s="7">
        <f t="shared" si="131"/>
        <v>1.6688319268278635</v>
      </c>
      <c r="O98" s="13">
        <f t="shared" si="131"/>
        <v>1.7677669529663689</v>
      </c>
      <c r="P98" s="13">
        <f t="shared" si="131"/>
        <v>1.8668154702594471</v>
      </c>
      <c r="Q98" s="13">
        <f t="shared" si="131"/>
        <v>1.9659603251337499</v>
      </c>
      <c r="R98" s="13">
        <f t="shared" si="131"/>
        <v>2.0651876428063383</v>
      </c>
      <c r="S98" s="13">
        <f t="shared" si="131"/>
        <v>2.1644860821913365</v>
      </c>
      <c r="T98" s="13">
        <f t="shared" si="131"/>
        <v>2.2638462845343543</v>
      </c>
      <c r="U98" s="13">
        <f t="shared" si="131"/>
        <v>2.363260459619295</v>
      </c>
      <c r="V98" s="14">
        <f t="shared" si="131"/>
        <v>2.4627220712049507</v>
      </c>
      <c r="X98" s="43">
        <v>3</v>
      </c>
      <c r="Y98" s="15">
        <v>6</v>
      </c>
      <c r="Z98" s="15">
        <f t="shared" si="153"/>
        <v>4.5</v>
      </c>
      <c r="AA98" s="15">
        <f t="shared" si="132"/>
        <v>4.7660255979169897</v>
      </c>
      <c r="AB98" s="15">
        <f t="shared" si="133"/>
        <v>4.7994791384065838</v>
      </c>
      <c r="AC98" s="15">
        <f t="shared" si="134"/>
        <v>4.8347699014534289</v>
      </c>
      <c r="AD98" s="15">
        <f t="shared" si="135"/>
        <v>4.8718579618047162</v>
      </c>
      <c r="AE98" s="15">
        <f t="shared" si="136"/>
        <v>4.9107025973886875</v>
      </c>
      <c r="AF98" s="15">
        <f t="shared" si="137"/>
        <v>4.9512624652708528</v>
      </c>
      <c r="AG98" s="15">
        <f t="shared" si="138"/>
        <v>4.9934957694985584</v>
      </c>
      <c r="AH98" s="15">
        <f t="shared" si="139"/>
        <v>5.0373604199024715</v>
      </c>
      <c r="AI98" s="15">
        <f t="shared" si="140"/>
        <v>5.0828141811402077</v>
      </c>
      <c r="AJ98" s="16">
        <f t="shared" si="141"/>
        <v>5.1298148114722428</v>
      </c>
      <c r="AL98" s="43">
        <v>6</v>
      </c>
      <c r="AM98" s="15">
        <f t="shared" si="154"/>
        <v>4.5</v>
      </c>
      <c r="AN98" s="15">
        <f t="shared" si="142"/>
        <v>0.12740104493965068</v>
      </c>
      <c r="AO98" s="15">
        <f t="shared" si="143"/>
        <v>0.15629777578054682</v>
      </c>
      <c r="AP98" s="15">
        <f t="shared" si="144"/>
        <v>0.18475982444553191</v>
      </c>
      <c r="AQ98" s="15">
        <f t="shared" si="145"/>
        <v>0.21255632944260303</v>
      </c>
      <c r="AR98" s="15">
        <f t="shared" si="146"/>
        <v>0.23948316618451371</v>
      </c>
      <c r="AS98" s="15">
        <f t="shared" si="147"/>
        <v>0.26536320549485148</v>
      </c>
      <c r="AT98" s="15">
        <f t="shared" si="148"/>
        <v>0.290046143346809</v>
      </c>
      <c r="AU98" s="15">
        <f t="shared" si="149"/>
        <v>0.31340790918773093</v>
      </c>
      <c r="AV98" s="15">
        <f t="shared" si="150"/>
        <v>0.33534969045893426</v>
      </c>
      <c r="AW98" s="16">
        <f t="shared" si="151"/>
        <v>0.35579662826629321</v>
      </c>
    </row>
    <row r="99" spans="11:51">
      <c r="K99" s="6">
        <v>4</v>
      </c>
      <c r="L99" s="7">
        <f t="shared" si="152"/>
        <v>0.14999999999999997</v>
      </c>
      <c r="M99" s="7">
        <f t="shared" si="131"/>
        <v>1.5572411502397439</v>
      </c>
      <c r="N99" s="7">
        <f t="shared" si="131"/>
        <v>1.656804152578089</v>
      </c>
      <c r="O99" s="13">
        <f t="shared" si="131"/>
        <v>1.7564168070250297</v>
      </c>
      <c r="P99" s="13">
        <f t="shared" si="131"/>
        <v>1.8560711193270587</v>
      </c>
      <c r="Q99" s="13">
        <f t="shared" si="131"/>
        <v>1.9557607215607946</v>
      </c>
      <c r="R99" s="13">
        <f t="shared" si="131"/>
        <v>2.0554804791094465</v>
      </c>
      <c r="S99" s="13">
        <f t="shared" si="131"/>
        <v>2.155226206225231</v>
      </c>
      <c r="T99" s="13">
        <f t="shared" si="131"/>
        <v>2.2549944567559361</v>
      </c>
      <c r="U99" s="13">
        <f t="shared" si="131"/>
        <v>2.3547823678633235</v>
      </c>
      <c r="V99" s="14">
        <f t="shared" si="131"/>
        <v>2.4545875417267156</v>
      </c>
      <c r="X99" s="43">
        <v>4</v>
      </c>
      <c r="Y99" s="15">
        <v>6</v>
      </c>
      <c r="Z99" s="15">
        <f t="shared" si="153"/>
        <v>4.5</v>
      </c>
      <c r="AA99" s="15">
        <f t="shared" si="132"/>
        <v>4.7618273803236502</v>
      </c>
      <c r="AB99" s="15">
        <f t="shared" si="133"/>
        <v>4.7953102089437341</v>
      </c>
      <c r="AC99" s="15">
        <f t="shared" si="134"/>
        <v>4.8306314287057752</v>
      </c>
      <c r="AD99" s="15">
        <f t="shared" si="135"/>
        <v>4.8677510207486989</v>
      </c>
      <c r="AE99" s="15">
        <f t="shared" si="136"/>
        <v>4.9066281701388377</v>
      </c>
      <c r="AF99" s="15">
        <f t="shared" si="137"/>
        <v>4.9472214423856142</v>
      </c>
      <c r="AG99" s="15">
        <f t="shared" si="138"/>
        <v>4.9894889517865462</v>
      </c>
      <c r="AH99" s="15">
        <f t="shared" si="139"/>
        <v>5.0333885206687556</v>
      </c>
      <c r="AI99" s="15">
        <f t="shared" si="140"/>
        <v>5.0788778288121881</v>
      </c>
      <c r="AJ99" s="16">
        <f t="shared" si="141"/>
        <v>5.125914552545721</v>
      </c>
      <c r="AL99" s="43">
        <v>6</v>
      </c>
      <c r="AM99" s="15">
        <f t="shared" si="154"/>
        <v>4.5</v>
      </c>
      <c r="AN99" s="15">
        <f t="shared" si="142"/>
        <v>0.1246803109455924</v>
      </c>
      <c r="AO99" s="15">
        <f t="shared" si="143"/>
        <v>0.15393553825674774</v>
      </c>
      <c r="AP99" s="15">
        <f t="shared" si="144"/>
        <v>0.18272320718844082</v>
      </c>
      <c r="AQ99" s="15">
        <f t="shared" si="145"/>
        <v>0.21081665379559569</v>
      </c>
      <c r="AR99" s="15">
        <f t="shared" si="146"/>
        <v>0.23801483585827021</v>
      </c>
      <c r="AS99" s="15">
        <f t="shared" si="147"/>
        <v>0.26414295570745111</v>
      </c>
      <c r="AT99" s="15">
        <f t="shared" si="148"/>
        <v>0.28905253776198314</v>
      </c>
      <c r="AU99" s="15">
        <f t="shared" si="149"/>
        <v>0.31262100591034975</v>
      </c>
      <c r="AV99" s="15">
        <f t="shared" si="150"/>
        <v>0.33475082304734438</v>
      </c>
      <c r="AW99" s="16">
        <f t="shared" si="151"/>
        <v>0.35536826424517276</v>
      </c>
    </row>
    <row r="100" spans="11:51">
      <c r="K100" s="6">
        <v>5</v>
      </c>
      <c r="L100" s="7">
        <f t="shared" si="152"/>
        <v>4.9999999999999989E-2</v>
      </c>
      <c r="M100" s="7">
        <f t="shared" si="131"/>
        <v>1.5508062419270823</v>
      </c>
      <c r="N100" s="7">
        <f t="shared" si="131"/>
        <v>1.6507574019219178</v>
      </c>
      <c r="O100" s="13">
        <f t="shared" si="131"/>
        <v>1.7507141400011597</v>
      </c>
      <c r="P100" s="13">
        <f t="shared" si="131"/>
        <v>1.8506755523321747</v>
      </c>
      <c r="Q100" s="13">
        <f t="shared" si="131"/>
        <v>1.9506409203131159</v>
      </c>
      <c r="R100" s="13">
        <f t="shared" si="131"/>
        <v>2.0506096654409878</v>
      </c>
      <c r="S100" s="13">
        <f t="shared" si="131"/>
        <v>2.1505813167606571</v>
      </c>
      <c r="T100" s="13">
        <f t="shared" si="131"/>
        <v>2.2505554869853799</v>
      </c>
      <c r="U100" s="13">
        <f t="shared" si="131"/>
        <v>2.350531854708632</v>
      </c>
      <c r="V100" s="14">
        <f t="shared" si="131"/>
        <v>2.4505101509685696</v>
      </c>
      <c r="X100" s="43">
        <v>5</v>
      </c>
      <c r="Y100" s="15">
        <v>6</v>
      </c>
      <c r="Z100" s="15">
        <f t="shared" si="153"/>
        <v>4.5</v>
      </c>
      <c r="AA100" s="15">
        <f t="shared" si="132"/>
        <v>4.7597268829209103</v>
      </c>
      <c r="AB100" s="15">
        <f t="shared" si="133"/>
        <v>4.7932243844827465</v>
      </c>
      <c r="AC100" s="15">
        <f t="shared" si="134"/>
        <v>4.8285608622031475</v>
      </c>
      <c r="AD100" s="15">
        <f t="shared" si="135"/>
        <v>4.8656962502811458</v>
      </c>
      <c r="AE100" s="15">
        <f t="shared" si="136"/>
        <v>4.9045896872215522</v>
      </c>
      <c r="AF100" s="15">
        <f t="shared" si="137"/>
        <v>4.9451996926312285</v>
      </c>
      <c r="AG100" s="15">
        <f t="shared" si="138"/>
        <v>4.9874843358150009</v>
      </c>
      <c r="AH100" s="15">
        <f t="shared" si="139"/>
        <v>5.0314013952377126</v>
      </c>
      <c r="AI100" s="15">
        <f t="shared" si="140"/>
        <v>5.0769085081376053</v>
      </c>
      <c r="AJ100" s="16">
        <f t="shared" si="141"/>
        <v>5.1239633097827699</v>
      </c>
      <c r="AL100" s="43">
        <v>6</v>
      </c>
      <c r="AM100" s="15">
        <f t="shared" si="154"/>
        <v>4.5</v>
      </c>
      <c r="AN100" s="15">
        <f t="shared" si="142"/>
        <v>0.12329291698317538</v>
      </c>
      <c r="AO100" s="15">
        <f t="shared" si="143"/>
        <v>0.15273217722102075</v>
      </c>
      <c r="AP100" s="15">
        <f t="shared" si="144"/>
        <v>0.18168642828236548</v>
      </c>
      <c r="AQ100" s="15">
        <f t="shared" si="145"/>
        <v>0.20993137463006345</v>
      </c>
      <c r="AR100" s="15">
        <f t="shared" si="146"/>
        <v>0.23726769988672106</v>
      </c>
      <c r="AS100" s="15">
        <f t="shared" si="147"/>
        <v>0.26352190154610733</v>
      </c>
      <c r="AT100" s="15">
        <f t="shared" si="148"/>
        <v>0.28854651093301092</v>
      </c>
      <c r="AU100" s="15">
        <f t="shared" si="149"/>
        <v>0.31221976693254289</v>
      </c>
      <c r="AV100" s="15">
        <f t="shared" si="150"/>
        <v>0.33444482073584914</v>
      </c>
      <c r="AW100" s="16">
        <f t="shared" si="151"/>
        <v>0.35514855287326025</v>
      </c>
    </row>
    <row r="101" spans="11:51">
      <c r="K101" s="6">
        <v>6</v>
      </c>
      <c r="L101" s="7">
        <f t="shared" si="152"/>
        <v>-5.0000000000000044E-2</v>
      </c>
      <c r="M101" s="7">
        <f t="shared" si="131"/>
        <v>1.5508062419270823</v>
      </c>
      <c r="N101" s="7">
        <f t="shared" si="131"/>
        <v>1.6507574019219178</v>
      </c>
      <c r="O101" s="13">
        <f t="shared" si="131"/>
        <v>1.7507141400011597</v>
      </c>
      <c r="P101" s="13">
        <f t="shared" si="131"/>
        <v>1.8506755523321747</v>
      </c>
      <c r="Q101" s="13">
        <f t="shared" si="131"/>
        <v>1.9506409203131159</v>
      </c>
      <c r="R101" s="13">
        <f t="shared" si="131"/>
        <v>2.0506096654409878</v>
      </c>
      <c r="S101" s="13">
        <f t="shared" si="131"/>
        <v>2.1505813167606571</v>
      </c>
      <c r="T101" s="13">
        <f t="shared" si="131"/>
        <v>2.2505554869853799</v>
      </c>
      <c r="U101" s="13">
        <f t="shared" si="131"/>
        <v>2.350531854708632</v>
      </c>
      <c r="V101" s="14">
        <f t="shared" si="131"/>
        <v>2.4505101509685696</v>
      </c>
      <c r="X101" s="43">
        <v>6</v>
      </c>
      <c r="Y101" s="15">
        <v>6</v>
      </c>
      <c r="Z101" s="15">
        <f t="shared" si="153"/>
        <v>4.5</v>
      </c>
      <c r="AA101" s="15">
        <f t="shared" si="132"/>
        <v>4.7597268829209103</v>
      </c>
      <c r="AB101" s="15">
        <f t="shared" si="133"/>
        <v>4.7932243844827465</v>
      </c>
      <c r="AC101" s="15">
        <f t="shared" si="134"/>
        <v>4.8285608622031475</v>
      </c>
      <c r="AD101" s="15">
        <f t="shared" si="135"/>
        <v>4.8656962502811458</v>
      </c>
      <c r="AE101" s="15">
        <f t="shared" si="136"/>
        <v>4.9045896872215522</v>
      </c>
      <c r="AF101" s="15">
        <f t="shared" si="137"/>
        <v>4.9451996926312285</v>
      </c>
      <c r="AG101" s="15">
        <f t="shared" si="138"/>
        <v>4.9874843358150009</v>
      </c>
      <c r="AH101" s="15">
        <f t="shared" si="139"/>
        <v>5.0314013952377126</v>
      </c>
      <c r="AI101" s="15">
        <f t="shared" si="140"/>
        <v>5.0769085081376053</v>
      </c>
      <c r="AJ101" s="16">
        <f t="shared" si="141"/>
        <v>5.1239633097827699</v>
      </c>
      <c r="AL101" s="43">
        <v>6</v>
      </c>
      <c r="AM101" s="15">
        <f t="shared" si="154"/>
        <v>4.5</v>
      </c>
      <c r="AN101" s="15">
        <f t="shared" si="142"/>
        <v>0.12329291698317538</v>
      </c>
      <c r="AO101" s="15">
        <f t="shared" si="143"/>
        <v>0.15273217722102075</v>
      </c>
      <c r="AP101" s="15">
        <f t="shared" si="144"/>
        <v>0.18168642828236548</v>
      </c>
      <c r="AQ101" s="15">
        <f t="shared" si="145"/>
        <v>0.20993137463006345</v>
      </c>
      <c r="AR101" s="15">
        <f t="shared" si="146"/>
        <v>0.23726769988672106</v>
      </c>
      <c r="AS101" s="15">
        <f t="shared" si="147"/>
        <v>0.26352190154610733</v>
      </c>
      <c r="AT101" s="15">
        <f t="shared" si="148"/>
        <v>0.28854651093301092</v>
      </c>
      <c r="AU101" s="15">
        <f t="shared" si="149"/>
        <v>0.31221976693254289</v>
      </c>
      <c r="AV101" s="15">
        <f t="shared" si="150"/>
        <v>0.33444482073584914</v>
      </c>
      <c r="AW101" s="16">
        <f t="shared" si="151"/>
        <v>0.35514855287326025</v>
      </c>
    </row>
    <row r="102" spans="11:51">
      <c r="K102" s="6">
        <v>7</v>
      </c>
      <c r="L102" s="7">
        <f t="shared" si="152"/>
        <v>-0.15000000000000013</v>
      </c>
      <c r="M102" s="7">
        <f t="shared" si="131"/>
        <v>1.5572411502397439</v>
      </c>
      <c r="N102" s="7">
        <f t="shared" si="131"/>
        <v>1.656804152578089</v>
      </c>
      <c r="O102" s="13">
        <f t="shared" si="131"/>
        <v>1.7564168070250297</v>
      </c>
      <c r="P102" s="13">
        <f t="shared" si="131"/>
        <v>1.8560711193270587</v>
      </c>
      <c r="Q102" s="13">
        <f t="shared" si="131"/>
        <v>1.9557607215607946</v>
      </c>
      <c r="R102" s="13">
        <f t="shared" si="131"/>
        <v>2.0554804791094465</v>
      </c>
      <c r="S102" s="13">
        <f t="shared" si="131"/>
        <v>2.155226206225231</v>
      </c>
      <c r="T102" s="13">
        <f t="shared" si="131"/>
        <v>2.2549944567559361</v>
      </c>
      <c r="U102" s="13">
        <f t="shared" si="131"/>
        <v>2.3547823678633235</v>
      </c>
      <c r="V102" s="14">
        <f t="shared" si="131"/>
        <v>2.4545875417267156</v>
      </c>
      <c r="X102" s="43">
        <v>7</v>
      </c>
      <c r="Y102" s="15">
        <v>6</v>
      </c>
      <c r="Z102" s="15">
        <f t="shared" si="153"/>
        <v>4.5</v>
      </c>
      <c r="AA102" s="15">
        <f t="shared" si="132"/>
        <v>4.7618273803236502</v>
      </c>
      <c r="AB102" s="15">
        <f t="shared" si="133"/>
        <v>4.7953102089437341</v>
      </c>
      <c r="AC102" s="15">
        <f t="shared" si="134"/>
        <v>4.8306314287057752</v>
      </c>
      <c r="AD102" s="15">
        <f t="shared" si="135"/>
        <v>4.8677510207486989</v>
      </c>
      <c r="AE102" s="15">
        <f t="shared" si="136"/>
        <v>4.9066281701388377</v>
      </c>
      <c r="AF102" s="15">
        <f t="shared" si="137"/>
        <v>4.9472214423856142</v>
      </c>
      <c r="AG102" s="15">
        <f t="shared" si="138"/>
        <v>4.9894889517865462</v>
      </c>
      <c r="AH102" s="15">
        <f t="shared" si="139"/>
        <v>5.0333885206687556</v>
      </c>
      <c r="AI102" s="15">
        <f t="shared" si="140"/>
        <v>5.0788778288121881</v>
      </c>
      <c r="AJ102" s="16">
        <f t="shared" si="141"/>
        <v>5.125914552545721</v>
      </c>
      <c r="AL102" s="43">
        <v>6</v>
      </c>
      <c r="AM102" s="15">
        <f t="shared" si="154"/>
        <v>4.5</v>
      </c>
      <c r="AN102" s="15">
        <f t="shared" si="142"/>
        <v>0.1246803109455924</v>
      </c>
      <c r="AO102" s="15">
        <f t="shared" si="143"/>
        <v>0.15393553825674774</v>
      </c>
      <c r="AP102" s="15">
        <f t="shared" si="144"/>
        <v>0.18272320718844082</v>
      </c>
      <c r="AQ102" s="15">
        <f t="shared" si="145"/>
        <v>0.21081665379559569</v>
      </c>
      <c r="AR102" s="15">
        <f t="shared" si="146"/>
        <v>0.23801483585827021</v>
      </c>
      <c r="AS102" s="15">
        <f t="shared" si="147"/>
        <v>0.26414295570745111</v>
      </c>
      <c r="AT102" s="15">
        <f t="shared" si="148"/>
        <v>0.28905253776198314</v>
      </c>
      <c r="AU102" s="15">
        <f t="shared" si="149"/>
        <v>0.31262100591034975</v>
      </c>
      <c r="AV102" s="15">
        <f t="shared" si="150"/>
        <v>0.33475082304734438</v>
      </c>
      <c r="AW102" s="16">
        <f t="shared" si="151"/>
        <v>0.35536826424517276</v>
      </c>
    </row>
    <row r="103" spans="11:51">
      <c r="K103" s="6">
        <v>8</v>
      </c>
      <c r="L103" s="7">
        <f t="shared" si="152"/>
        <v>-0.25000000000000011</v>
      </c>
      <c r="M103" s="7">
        <f t="shared" si="131"/>
        <v>1.5700318468107584</v>
      </c>
      <c r="N103" s="7">
        <f t="shared" si="131"/>
        <v>1.6688319268278635</v>
      </c>
      <c r="O103" s="13">
        <f t="shared" si="131"/>
        <v>1.7677669529663689</v>
      </c>
      <c r="P103" s="13">
        <f t="shared" si="131"/>
        <v>1.8668154702594471</v>
      </c>
      <c r="Q103" s="13">
        <f t="shared" si="131"/>
        <v>1.9659603251337499</v>
      </c>
      <c r="R103" s="13">
        <f t="shared" si="131"/>
        <v>2.0651876428063383</v>
      </c>
      <c r="S103" s="13">
        <f t="shared" si="131"/>
        <v>2.1644860821913365</v>
      </c>
      <c r="T103" s="13">
        <f t="shared" si="131"/>
        <v>2.2638462845343543</v>
      </c>
      <c r="U103" s="13">
        <f t="shared" si="131"/>
        <v>2.363260459619295</v>
      </c>
      <c r="V103" s="14">
        <f t="shared" si="131"/>
        <v>2.4627220712049507</v>
      </c>
      <c r="X103" s="43">
        <v>8</v>
      </c>
      <c r="Y103" s="15">
        <v>6</v>
      </c>
      <c r="Z103" s="15">
        <f t="shared" si="153"/>
        <v>4.5</v>
      </c>
      <c r="AA103" s="15">
        <f t="shared" si="132"/>
        <v>4.7660255979169897</v>
      </c>
      <c r="AB103" s="15">
        <f t="shared" si="133"/>
        <v>4.7994791384065838</v>
      </c>
      <c r="AC103" s="15">
        <f t="shared" si="134"/>
        <v>4.8347699014534289</v>
      </c>
      <c r="AD103" s="15">
        <f t="shared" si="135"/>
        <v>4.8718579618047162</v>
      </c>
      <c r="AE103" s="15">
        <f t="shared" si="136"/>
        <v>4.9107025973886875</v>
      </c>
      <c r="AF103" s="15">
        <f t="shared" si="137"/>
        <v>4.9512624652708528</v>
      </c>
      <c r="AG103" s="15">
        <f t="shared" si="138"/>
        <v>4.9934957694985584</v>
      </c>
      <c r="AH103" s="15">
        <f t="shared" si="139"/>
        <v>5.0373604199024715</v>
      </c>
      <c r="AI103" s="15">
        <f t="shared" si="140"/>
        <v>5.0828141811402077</v>
      </c>
      <c r="AJ103" s="16">
        <f t="shared" si="141"/>
        <v>5.1298148114722428</v>
      </c>
      <c r="AL103" s="43">
        <v>6</v>
      </c>
      <c r="AM103" s="15">
        <f t="shared" si="154"/>
        <v>4.5</v>
      </c>
      <c r="AN103" s="15">
        <f t="shared" si="142"/>
        <v>0.12740104493965068</v>
      </c>
      <c r="AO103" s="15">
        <f t="shared" si="143"/>
        <v>0.15629777578054682</v>
      </c>
      <c r="AP103" s="15">
        <f t="shared" si="144"/>
        <v>0.18475982444553191</v>
      </c>
      <c r="AQ103" s="15">
        <f t="shared" si="145"/>
        <v>0.21255632944260303</v>
      </c>
      <c r="AR103" s="15">
        <f t="shared" si="146"/>
        <v>0.23948316618451371</v>
      </c>
      <c r="AS103" s="15">
        <f t="shared" si="147"/>
        <v>0.26536320549485148</v>
      </c>
      <c r="AT103" s="15">
        <f t="shared" si="148"/>
        <v>0.290046143346809</v>
      </c>
      <c r="AU103" s="15">
        <f t="shared" si="149"/>
        <v>0.31340790918773093</v>
      </c>
      <c r="AV103" s="15">
        <f t="shared" si="150"/>
        <v>0.33534969045893426</v>
      </c>
      <c r="AW103" s="16">
        <f t="shared" si="151"/>
        <v>0.35579662826629321</v>
      </c>
    </row>
    <row r="104" spans="11:51">
      <c r="K104" s="6">
        <v>9</v>
      </c>
      <c r="L104" s="7">
        <f t="shared" si="152"/>
        <v>-0.35000000000000009</v>
      </c>
      <c r="M104" s="7">
        <f t="shared" si="131"/>
        <v>1.5890248582070705</v>
      </c>
      <c r="N104" s="7">
        <f t="shared" si="131"/>
        <v>1.6867127793432999</v>
      </c>
      <c r="O104" s="13">
        <f t="shared" si="131"/>
        <v>1.7846568297574747</v>
      </c>
      <c r="P104" s="13">
        <f t="shared" si="131"/>
        <v>1.8828170383762732</v>
      </c>
      <c r="Q104" s="13">
        <f t="shared" si="131"/>
        <v>1.9811612756158949</v>
      </c>
      <c r="R104" s="13">
        <f t="shared" si="131"/>
        <v>2.0796634343085421</v>
      </c>
      <c r="S104" s="13">
        <f t="shared" si="131"/>
        <v>2.178302091079197</v>
      </c>
      <c r="T104" s="13">
        <f t="shared" si="131"/>
        <v>2.2770595073471402</v>
      </c>
      <c r="U104" s="13">
        <f t="shared" si="131"/>
        <v>2.3759208741033446</v>
      </c>
      <c r="V104" s="14">
        <f t="shared" si="131"/>
        <v>2.4748737341529168</v>
      </c>
      <c r="X104" s="43">
        <v>9</v>
      </c>
      <c r="Y104" s="15">
        <v>6</v>
      </c>
      <c r="Z104" s="15">
        <f t="shared" si="153"/>
        <v>4.5</v>
      </c>
      <c r="AA104" s="15">
        <f t="shared" si="132"/>
        <v>4.7723159995960032</v>
      </c>
      <c r="AB104" s="15">
        <f t="shared" si="133"/>
        <v>4.8057257516425134</v>
      </c>
      <c r="AC104" s="15">
        <f t="shared" si="134"/>
        <v>4.8409709769838525</v>
      </c>
      <c r="AD104" s="15">
        <f t="shared" si="135"/>
        <v>4.8780118901044105</v>
      </c>
      <c r="AE104" s="15">
        <f t="shared" si="136"/>
        <v>4.9168079075758087</v>
      </c>
      <c r="AF104" s="15">
        <f t="shared" si="137"/>
        <v>4.9573178231781752</v>
      </c>
      <c r="AG104" s="15">
        <f t="shared" si="138"/>
        <v>4.9994999749974998</v>
      </c>
      <c r="AH104" s="15">
        <f t="shared" si="139"/>
        <v>5.0433124035697015</v>
      </c>
      <c r="AI104" s="15">
        <f t="shared" si="140"/>
        <v>5.08871300035677</v>
      </c>
      <c r="AJ104" s="16">
        <f t="shared" si="141"/>
        <v>5.1356596460435346</v>
      </c>
      <c r="AL104" s="43">
        <v>6</v>
      </c>
      <c r="AM104" s="15">
        <f t="shared" si="154"/>
        <v>4.5</v>
      </c>
      <c r="AN104" s="15">
        <f t="shared" si="142"/>
        <v>0.13135149574874916</v>
      </c>
      <c r="AO104" s="15">
        <f t="shared" si="143"/>
        <v>0.159733213687518</v>
      </c>
      <c r="AP104" s="15">
        <f t="shared" si="144"/>
        <v>0.1877248686123027</v>
      </c>
      <c r="AQ104" s="15">
        <f t="shared" si="145"/>
        <v>0.21509052218904315</v>
      </c>
      <c r="AR104" s="15">
        <f t="shared" si="146"/>
        <v>0.24162227014123297</v>
      </c>
      <c r="AS104" s="15">
        <f t="shared" si="147"/>
        <v>0.26714008267746486</v>
      </c>
      <c r="AT104" s="15">
        <f t="shared" si="148"/>
        <v>0.29149134372312346</v>
      </c>
      <c r="AU104" s="15">
        <f t="shared" si="149"/>
        <v>0.3145500581021895</v>
      </c>
      <c r="AV104" s="15">
        <f t="shared" si="150"/>
        <v>0.33621573805877375</v>
      </c>
      <c r="AW104" s="16">
        <f t="shared" si="151"/>
        <v>0.3564120058004569</v>
      </c>
    </row>
    <row r="105" spans="11:51">
      <c r="K105" s="8">
        <v>10</v>
      </c>
      <c r="L105" s="9">
        <f t="shared" si="152"/>
        <v>-0.45000000000000007</v>
      </c>
      <c r="M105" s="9">
        <f t="shared" si="131"/>
        <v>1.6140012391568974</v>
      </c>
      <c r="N105" s="9">
        <f t="shared" si="131"/>
        <v>1.710263137648707</v>
      </c>
      <c r="O105" s="17">
        <f t="shared" si="131"/>
        <v>1.8069310999592652</v>
      </c>
      <c r="P105" s="17">
        <f t="shared" si="131"/>
        <v>1.9039432764659772</v>
      </c>
      <c r="Q105" s="17">
        <f t="shared" si="131"/>
        <v>2.00124960961895</v>
      </c>
      <c r="R105" s="17">
        <f t="shared" si="131"/>
        <v>2.0988091861815357</v>
      </c>
      <c r="S105" s="17">
        <f t="shared" si="131"/>
        <v>2.1965882636488798</v>
      </c>
      <c r="T105" s="17">
        <f t="shared" si="131"/>
        <v>2.2945587811167529</v>
      </c>
      <c r="U105" s="17">
        <f t="shared" si="131"/>
        <v>2.3926972228010799</v>
      </c>
      <c r="V105" s="18">
        <f t="shared" si="131"/>
        <v>2.4909837414162301</v>
      </c>
      <c r="X105" s="44">
        <v>10</v>
      </c>
      <c r="Y105" s="23">
        <v>6</v>
      </c>
      <c r="Z105" s="23">
        <f t="shared" si="153"/>
        <v>4.5</v>
      </c>
      <c r="AA105" s="23">
        <f t="shared" si="132"/>
        <v>4.7806903267206087</v>
      </c>
      <c r="AB105" s="23">
        <f t="shared" si="133"/>
        <v>4.8140419607643636</v>
      </c>
      <c r="AC105" s="23">
        <f t="shared" si="134"/>
        <v>4.8492267424817328</v>
      </c>
      <c r="AD105" s="23">
        <f t="shared" si="135"/>
        <v>4.8862050714230163</v>
      </c>
      <c r="AE105" s="23">
        <f t="shared" si="136"/>
        <v>4.9249365478146006</v>
      </c>
      <c r="AF105" s="23">
        <f t="shared" si="137"/>
        <v>4.9653801465748826</v>
      </c>
      <c r="AG105" s="23">
        <f t="shared" si="138"/>
        <v>5.0074943834217134</v>
      </c>
      <c r="AH105" s="23">
        <f t="shared" si="139"/>
        <v>5.0512374721448206</v>
      </c>
      <c r="AI105" s="23">
        <f t="shared" si="140"/>
        <v>5.096567472328803</v>
      </c>
      <c r="AJ105" s="24">
        <f t="shared" si="141"/>
        <v>5.1434424270132544</v>
      </c>
      <c r="AL105" s="44">
        <v>6</v>
      </c>
      <c r="AM105" s="23">
        <f t="shared" si="154"/>
        <v>4.5</v>
      </c>
      <c r="AN105" s="23">
        <f t="shared" si="142"/>
        <v>0.13638669800552322</v>
      </c>
      <c r="AO105" s="23">
        <f t="shared" si="143"/>
        <v>0.16412109097896929</v>
      </c>
      <c r="AP105" s="23">
        <f t="shared" si="144"/>
        <v>0.19151707791531147</v>
      </c>
      <c r="AQ105" s="23">
        <f t="shared" si="145"/>
        <v>0.21833391027078042</v>
      </c>
      <c r="AR105" s="23">
        <f t="shared" si="146"/>
        <v>0.24436002078061789</v>
      </c>
      <c r="AS105" s="23">
        <f t="shared" si="147"/>
        <v>0.26941249842812148</v>
      </c>
      <c r="AT105" s="23">
        <f t="shared" si="148"/>
        <v>0.29333636445867078</v>
      </c>
      <c r="AU105" s="23">
        <f t="shared" si="149"/>
        <v>0.31600359306129144</v>
      </c>
      <c r="AV105" s="23">
        <f t="shared" si="150"/>
        <v>0.33731186853172096</v>
      </c>
      <c r="AW105" s="24">
        <f t="shared" si="151"/>
        <v>0.35718310073348097</v>
      </c>
    </row>
    <row r="106" spans="11:51">
      <c r="K106" s="1"/>
      <c r="L106" s="1"/>
      <c r="M106" s="1"/>
      <c r="N106" s="1"/>
      <c r="O106" s="10"/>
      <c r="P106" s="10"/>
    </row>
    <row r="107" spans="11:51" ht="30">
      <c r="K107" s="4" t="s">
        <v>18</v>
      </c>
      <c r="L107" s="5" t="s">
        <v>17</v>
      </c>
      <c r="M107" s="5">
        <v>1</v>
      </c>
      <c r="N107" s="5">
        <v>2</v>
      </c>
      <c r="O107" s="11">
        <v>3</v>
      </c>
      <c r="P107" s="11">
        <v>4</v>
      </c>
      <c r="Q107" s="11">
        <v>5</v>
      </c>
      <c r="R107" s="11">
        <v>6</v>
      </c>
      <c r="S107" s="11">
        <v>7</v>
      </c>
      <c r="T107" s="11">
        <v>8</v>
      </c>
      <c r="U107" s="11">
        <v>9</v>
      </c>
      <c r="V107" s="12">
        <v>10</v>
      </c>
    </row>
    <row r="108" spans="11:51">
      <c r="K108" s="6"/>
      <c r="L108" s="7" t="s">
        <v>125</v>
      </c>
      <c r="M108" s="7">
        <f t="shared" ref="M108:V108" si="155">$E$7+($B$17/2+$B$17*(M107-1))</f>
        <v>1.55</v>
      </c>
      <c r="N108" s="7">
        <f t="shared" si="155"/>
        <v>1.65</v>
      </c>
      <c r="O108" s="7">
        <f t="shared" si="155"/>
        <v>1.75</v>
      </c>
      <c r="P108" s="7">
        <f t="shared" si="155"/>
        <v>1.85</v>
      </c>
      <c r="Q108" s="7">
        <f t="shared" si="155"/>
        <v>1.95</v>
      </c>
      <c r="R108" s="7">
        <f t="shared" si="155"/>
        <v>2.0499999999999998</v>
      </c>
      <c r="S108" s="7">
        <f t="shared" si="155"/>
        <v>2.1500000000000004</v>
      </c>
      <c r="T108" s="7">
        <f t="shared" si="155"/>
        <v>2.25</v>
      </c>
      <c r="U108" s="7">
        <f t="shared" si="155"/>
        <v>2.35</v>
      </c>
      <c r="V108" s="7">
        <f t="shared" si="155"/>
        <v>2.4500000000000002</v>
      </c>
    </row>
    <row r="109" spans="11:51">
      <c r="K109" s="6" t="s">
        <v>19</v>
      </c>
      <c r="L109" s="7" t="s">
        <v>126</v>
      </c>
      <c r="M109" s="7"/>
      <c r="N109" s="7"/>
      <c r="O109" s="13"/>
      <c r="P109" s="13"/>
      <c r="Q109" s="15"/>
      <c r="R109" s="15"/>
      <c r="S109" s="15"/>
      <c r="T109" s="15"/>
      <c r="U109" s="15"/>
      <c r="V109" s="16"/>
      <c r="AA109" s="2" t="s">
        <v>85</v>
      </c>
      <c r="AB109" s="2" t="s">
        <v>86</v>
      </c>
      <c r="AC109" s="2" t="s">
        <v>87</v>
      </c>
      <c r="AD109" s="2" t="s">
        <v>88</v>
      </c>
      <c r="AE109" s="2" t="s">
        <v>89</v>
      </c>
      <c r="AF109" s="2" t="s">
        <v>90</v>
      </c>
      <c r="AG109" s="2" t="s">
        <v>91</v>
      </c>
      <c r="AH109" s="2" t="s">
        <v>92</v>
      </c>
      <c r="AI109" s="2" t="s">
        <v>93</v>
      </c>
      <c r="AJ109" s="2" t="s">
        <v>94</v>
      </c>
      <c r="AX109" s="2" t="s">
        <v>129</v>
      </c>
      <c r="AY109" s="2">
        <f>SUM(AN110:AW119)</f>
        <v>12.694957403780215</v>
      </c>
    </row>
    <row r="110" spans="11:51">
      <c r="K110" s="6">
        <v>1</v>
      </c>
      <c r="L110" s="7">
        <f>$B$9/2-($B$18/2+$B$18*(K110-1))</f>
        <v>0.45</v>
      </c>
      <c r="M110" s="7">
        <f t="shared" ref="M110:V119" si="156">SQRT(M$24^2+$L110^2)</f>
        <v>1.6140012391568974</v>
      </c>
      <c r="N110" s="7">
        <f t="shared" si="156"/>
        <v>1.710263137648707</v>
      </c>
      <c r="O110" s="13">
        <f t="shared" si="156"/>
        <v>1.8069310999592652</v>
      </c>
      <c r="P110" s="13">
        <f t="shared" si="156"/>
        <v>1.9039432764659772</v>
      </c>
      <c r="Q110" s="13">
        <f t="shared" si="156"/>
        <v>2.00124960961895</v>
      </c>
      <c r="R110" s="13">
        <f t="shared" si="156"/>
        <v>2.0988091861815357</v>
      </c>
      <c r="S110" s="13">
        <f t="shared" si="156"/>
        <v>2.1965882636488798</v>
      </c>
      <c r="T110" s="13">
        <f t="shared" si="156"/>
        <v>2.2945587811167529</v>
      </c>
      <c r="U110" s="13">
        <f t="shared" si="156"/>
        <v>2.3926972228010799</v>
      </c>
      <c r="V110" s="14">
        <f t="shared" si="156"/>
        <v>2.4909837414162301</v>
      </c>
      <c r="X110" s="55">
        <v>1</v>
      </c>
      <c r="Y110" s="25">
        <v>7</v>
      </c>
      <c r="Z110" s="25">
        <f>Y110*$B$19</f>
        <v>5.25</v>
      </c>
      <c r="AA110" s="25">
        <f t="shared" ref="AA110:AA119" si="157">SQRT($Z110^2+M110^2)</f>
        <v>5.4924948793785875</v>
      </c>
      <c r="AB110" s="25">
        <f t="shared" ref="AB110:AB119" si="158">SQRT($Z110^2+N110^2)</f>
        <v>5.5215486957917888</v>
      </c>
      <c r="AC110" s="25">
        <f t="shared" ref="AC110:AC119" si="159">SQRT($Z110^2+O110^2)</f>
        <v>5.5522517954429986</v>
      </c>
      <c r="AD110" s="25">
        <f t="shared" ref="AD110:AD119" si="160">SQRT($Z110^2+P110^2)</f>
        <v>5.5845769759221691</v>
      </c>
      <c r="AE110" s="25">
        <f t="shared" ref="AE110:AE119" si="161">SQRT($Z110^2+Q110^2)</f>
        <v>5.6184962400984126</v>
      </c>
      <c r="AF110" s="25">
        <f t="shared" ref="AF110:AF119" si="162">SQRT($Z110^2+R110^2)</f>
        <v>5.6539808984466866</v>
      </c>
      <c r="AG110" s="25">
        <f t="shared" ref="AG110:AG119" si="163">SQRT($Z110^2+S110^2)</f>
        <v>5.691001669302163</v>
      </c>
      <c r="AH110" s="25">
        <f t="shared" ref="AH110:AH119" si="164">SQRT($Z110^2+T110^2)</f>
        <v>5.7295287764352842</v>
      </c>
      <c r="AI110" s="25">
        <f t="shared" ref="AI110:AI119" si="165">SQRT($Z110^2+U110^2)</f>
        <v>5.7695320434156532</v>
      </c>
      <c r="AJ110" s="20">
        <f t="shared" ref="AJ110:AJ119" si="166">SQRT($Z110^2+V26^2)</f>
        <v>5.8109809843089311</v>
      </c>
      <c r="AL110" s="55">
        <v>7</v>
      </c>
      <c r="AM110" s="25">
        <f>AL110*$B$19</f>
        <v>5.25</v>
      </c>
      <c r="AN110" s="25">
        <f t="shared" ref="AN110:AN119" si="167">$B$20/(2*PI())*(3*M110^2*$AM110/AA110^5-(1-2*$B$11)/(AA110*(AA110+$AM110)))*(M$108/M110)</f>
        <v>5.1958354215715957E-2</v>
      </c>
      <c r="AO110" s="25">
        <f t="shared" ref="AO110:AO119" si="168">$B$20/(2*PI())*(3*N110^2*$AM110/AB110^5-(1-2*$B$11)/(AB110*(AB110+$AM110)))*(N$108/N110)</f>
        <v>6.9573276905671749E-2</v>
      </c>
      <c r="AP110" s="25">
        <f t="shared" ref="AP110:AP119" si="169">$B$20/(2*PI())*(3*O110^2*$AM110/AC110^5-(1-2*$B$11)/(AC110*(AC110+$AM110)))*(O$108/O110)</f>
        <v>8.735086893481378E-2</v>
      </c>
      <c r="AQ110" s="25">
        <f t="shared" ref="AQ110:AQ119" si="170">$B$20/(2*PI())*(3*P110^2*$AM110/AD110^5-(1-2*$B$11)/(AD110*(AD110+$AM110)))*(P$108/P110)</f>
        <v>0.1051487380497282</v>
      </c>
      <c r="AR110" s="25">
        <f t="shared" ref="AR110:AR119" si="171">$B$20/(2*PI())*(3*Q110^2*$AM110/AE110^5-(1-2*$B$11)/(AE110*(AE110+$AM110)))*(Q$108/Q110)</f>
        <v>0.12283603502596863</v>
      </c>
      <c r="AS110" s="25">
        <f t="shared" ref="AS110:AS119" si="172">$B$20/(2*PI())*(3*R110^2*$AM110/AF110^5-(1-2*$B$11)/(AF110*(AF110+$AM110)))*(R$108/R110)</f>
        <v>0.14029330918006</v>
      </c>
      <c r="AT110" s="25">
        <f t="shared" ref="AT110:AT119" si="173">$B$20/(2*PI())*(3*S110^2*$AM110/AG110^5-(1-2*$B$11)/(AG110*(AG110+$AM110)))*(S$108/S110)</f>
        <v>0.15741245278944352</v>
      </c>
      <c r="AU110" s="25">
        <f t="shared" ref="AU110:AU119" si="174">$B$20/(2*PI())*(3*T110^2*$AM110/AH110^5-(1-2*$B$11)/(AH110*(AH110+$AM110)))*(T$108/T110)</f>
        <v>0.17409664864724714</v>
      </c>
      <c r="AV110" s="25">
        <f t="shared" ref="AV110:AV119" si="175">$B$20/(2*PI())*(3*U110^2*$AM110/AI110^5-(1-2*$B$11)/(AI110*(AI110+$AM110)))*(U$108/U110)</f>
        <v>0.19026026972050789</v>
      </c>
      <c r="AW110" s="20">
        <f t="shared" ref="AW110:AW119" si="176">$B$20/(2*PI())*(3*V110^2*$AM110/AJ110^5-(1-2*$B$11)/(AJ110*(AJ110+$AM110)))*(V$108/V110)</f>
        <v>0.20582870317370883</v>
      </c>
    </row>
    <row r="111" spans="11:51">
      <c r="K111" s="6">
        <v>2</v>
      </c>
      <c r="L111" s="7">
        <f t="shared" ref="L111:L119" si="177">$B$9/2-($B$18/2+$B$18*(K111-1))</f>
        <v>0.35</v>
      </c>
      <c r="M111" s="7">
        <f t="shared" si="156"/>
        <v>1.5890248582070705</v>
      </c>
      <c r="N111" s="7">
        <f t="shared" si="156"/>
        <v>1.6867127793432999</v>
      </c>
      <c r="O111" s="13">
        <f t="shared" si="156"/>
        <v>1.7846568297574747</v>
      </c>
      <c r="P111" s="13">
        <f t="shared" si="156"/>
        <v>1.8828170383762732</v>
      </c>
      <c r="Q111" s="13">
        <f t="shared" si="156"/>
        <v>1.9811612756158949</v>
      </c>
      <c r="R111" s="13">
        <f t="shared" si="156"/>
        <v>2.0796634343085421</v>
      </c>
      <c r="S111" s="13">
        <f t="shared" si="156"/>
        <v>2.1783020910791966</v>
      </c>
      <c r="T111" s="13">
        <f t="shared" si="156"/>
        <v>2.2770595073471398</v>
      </c>
      <c r="U111" s="13">
        <f t="shared" si="156"/>
        <v>2.3759208741033446</v>
      </c>
      <c r="V111" s="14">
        <f t="shared" si="156"/>
        <v>2.4748737341529163</v>
      </c>
      <c r="X111" s="43">
        <v>2</v>
      </c>
      <c r="Y111" s="15">
        <v>7</v>
      </c>
      <c r="Z111" s="15">
        <f t="shared" ref="Z111:Z119" si="178">Y111*$B$19</f>
        <v>5.25</v>
      </c>
      <c r="AA111" s="15">
        <f t="shared" si="157"/>
        <v>5.4852073798535637</v>
      </c>
      <c r="AB111" s="15">
        <f t="shared" si="158"/>
        <v>5.5142995928766876</v>
      </c>
      <c r="AC111" s="15">
        <f t="shared" si="159"/>
        <v>5.5450428312142011</v>
      </c>
      <c r="AD111" s="15">
        <f t="shared" si="160"/>
        <v>5.5774097930849589</v>
      </c>
      <c r="AE111" s="15">
        <f t="shared" si="161"/>
        <v>5.6113723811559684</v>
      </c>
      <c r="AF111" s="15">
        <f t="shared" si="162"/>
        <v>5.6469018054150721</v>
      </c>
      <c r="AG111" s="15">
        <f t="shared" si="163"/>
        <v>5.6839686839390655</v>
      </c>
      <c r="AH111" s="15">
        <f t="shared" si="164"/>
        <v>5.7225431409470389</v>
      </c>
      <c r="AI111" s="15">
        <f t="shared" si="165"/>
        <v>5.7625949016046585</v>
      </c>
      <c r="AJ111" s="16">
        <f t="shared" si="166"/>
        <v>5.8040933831219501</v>
      </c>
      <c r="AL111" s="43">
        <v>7</v>
      </c>
      <c r="AM111" s="15">
        <f t="shared" ref="AM111:AM119" si="179">AL111*$B$19</f>
        <v>5.25</v>
      </c>
      <c r="AN111" s="15">
        <f t="shared" si="167"/>
        <v>4.822932532400255E-2</v>
      </c>
      <c r="AO111" s="15">
        <f t="shared" si="168"/>
        <v>6.6230780881593121E-2</v>
      </c>
      <c r="AP111" s="15">
        <f t="shared" si="169"/>
        <v>8.4362924612564297E-2</v>
      </c>
      <c r="AQ111" s="15">
        <f t="shared" si="170"/>
        <v>0.10248775643622725</v>
      </c>
      <c r="AR111" s="15">
        <f t="shared" si="171"/>
        <v>0.12047773822119205</v>
      </c>
      <c r="AS111" s="15">
        <f t="shared" si="172"/>
        <v>0.13821593684846339</v>
      </c>
      <c r="AT111" s="15">
        <f t="shared" si="173"/>
        <v>0.15559618288867166</v>
      </c>
      <c r="AU111" s="15">
        <f t="shared" si="174"/>
        <v>0.17252317756399729</v>
      </c>
      <c r="AV111" s="15">
        <f t="shared" si="175"/>
        <v>0.18891251079728266</v>
      </c>
      <c r="AW111" s="16">
        <f t="shared" si="176"/>
        <v>0.20469057288966808</v>
      </c>
    </row>
    <row r="112" spans="11:51">
      <c r="K112" s="6">
        <v>3</v>
      </c>
      <c r="L112" s="7">
        <f t="shared" si="177"/>
        <v>0.25</v>
      </c>
      <c r="M112" s="7">
        <f t="shared" si="156"/>
        <v>1.5700318468107584</v>
      </c>
      <c r="N112" s="7">
        <f t="shared" si="156"/>
        <v>1.6688319268278635</v>
      </c>
      <c r="O112" s="13">
        <f t="shared" si="156"/>
        <v>1.7677669529663689</v>
      </c>
      <c r="P112" s="13">
        <f t="shared" si="156"/>
        <v>1.8668154702594471</v>
      </c>
      <c r="Q112" s="13">
        <f t="shared" si="156"/>
        <v>1.9659603251337499</v>
      </c>
      <c r="R112" s="13">
        <f t="shared" si="156"/>
        <v>2.0651876428063383</v>
      </c>
      <c r="S112" s="13">
        <f t="shared" si="156"/>
        <v>2.1644860821913365</v>
      </c>
      <c r="T112" s="13">
        <f t="shared" si="156"/>
        <v>2.2638462845343543</v>
      </c>
      <c r="U112" s="13">
        <f t="shared" si="156"/>
        <v>2.363260459619295</v>
      </c>
      <c r="V112" s="14">
        <f t="shared" si="156"/>
        <v>2.4627220712049507</v>
      </c>
      <c r="X112" s="43">
        <v>3</v>
      </c>
      <c r="Y112" s="15">
        <v>7</v>
      </c>
      <c r="Z112" s="15">
        <f t="shared" si="178"/>
        <v>5.25</v>
      </c>
      <c r="AA112" s="15">
        <f t="shared" si="157"/>
        <v>5.4797353950715539</v>
      </c>
      <c r="AB112" s="15">
        <f t="shared" si="158"/>
        <v>5.5088565056643111</v>
      </c>
      <c r="AC112" s="15">
        <f t="shared" si="159"/>
        <v>5.5396299515400846</v>
      </c>
      <c r="AD112" s="15">
        <f t="shared" si="160"/>
        <v>5.5720283559938926</v>
      </c>
      <c r="AE112" s="15">
        <f t="shared" si="161"/>
        <v>5.6060235461510501</v>
      </c>
      <c r="AF112" s="15">
        <f t="shared" si="162"/>
        <v>5.6415866562519446</v>
      </c>
      <c r="AG112" s="15">
        <f t="shared" si="163"/>
        <v>5.6786882288077765</v>
      </c>
      <c r="AH112" s="15">
        <f t="shared" si="164"/>
        <v>5.717298313014636</v>
      </c>
      <c r="AI112" s="15">
        <f t="shared" si="165"/>
        <v>5.7573865598898255</v>
      </c>
      <c r="AJ112" s="16">
        <f t="shared" si="166"/>
        <v>5.7989223136717403</v>
      </c>
      <c r="AL112" s="43">
        <v>7</v>
      </c>
      <c r="AM112" s="15">
        <f t="shared" si="179"/>
        <v>5.25</v>
      </c>
      <c r="AN112" s="15">
        <f t="shared" si="167"/>
        <v>4.5320297492141406E-2</v>
      </c>
      <c r="AO112" s="15">
        <f t="shared" si="168"/>
        <v>6.3630630210680966E-2</v>
      </c>
      <c r="AP112" s="15">
        <f t="shared" si="169"/>
        <v>8.2043659117493492E-2</v>
      </c>
      <c r="AQ112" s="15">
        <f t="shared" si="170"/>
        <v>0.10042572574249881</v>
      </c>
      <c r="AR112" s="15">
        <f t="shared" si="171"/>
        <v>0.11865250765571837</v>
      </c>
      <c r="AS112" s="15">
        <f t="shared" si="172"/>
        <v>0.13660948104769907</v>
      </c>
      <c r="AT112" s="15">
        <f t="shared" si="173"/>
        <v>0.15419230720735816</v>
      </c>
      <c r="AU112" s="15">
        <f t="shared" si="174"/>
        <v>0.17130710321844014</v>
      </c>
      <c r="AV112" s="15">
        <f t="shared" si="175"/>
        <v>0.18787057839278293</v>
      </c>
      <c r="AW112" s="16">
        <f t="shared" si="176"/>
        <v>0.20381003182628013</v>
      </c>
    </row>
    <row r="113" spans="11:51">
      <c r="K113" s="6">
        <v>4</v>
      </c>
      <c r="L113" s="7">
        <f t="shared" si="177"/>
        <v>0.14999999999999997</v>
      </c>
      <c r="M113" s="7">
        <f t="shared" si="156"/>
        <v>1.5572411502397439</v>
      </c>
      <c r="N113" s="7">
        <f t="shared" si="156"/>
        <v>1.656804152578089</v>
      </c>
      <c r="O113" s="13">
        <f t="shared" si="156"/>
        <v>1.7564168070250297</v>
      </c>
      <c r="P113" s="13">
        <f t="shared" si="156"/>
        <v>1.8560711193270587</v>
      </c>
      <c r="Q113" s="13">
        <f t="shared" si="156"/>
        <v>1.9557607215607946</v>
      </c>
      <c r="R113" s="13">
        <f t="shared" si="156"/>
        <v>2.0554804791094465</v>
      </c>
      <c r="S113" s="13">
        <f t="shared" si="156"/>
        <v>2.155226206225231</v>
      </c>
      <c r="T113" s="13">
        <f t="shared" si="156"/>
        <v>2.2549944567559361</v>
      </c>
      <c r="U113" s="13">
        <f t="shared" si="156"/>
        <v>2.3547823678633235</v>
      </c>
      <c r="V113" s="14">
        <f t="shared" si="156"/>
        <v>2.4545875417267156</v>
      </c>
      <c r="X113" s="43">
        <v>4</v>
      </c>
      <c r="Y113" s="15">
        <v>7</v>
      </c>
      <c r="Z113" s="15">
        <f t="shared" si="178"/>
        <v>5.25</v>
      </c>
      <c r="AA113" s="15">
        <f t="shared" si="157"/>
        <v>5.4760843675020201</v>
      </c>
      <c r="AB113" s="15">
        <f t="shared" si="158"/>
        <v>5.5052247910507708</v>
      </c>
      <c r="AC113" s="15">
        <f t="shared" si="159"/>
        <v>5.5360184248248308</v>
      </c>
      <c r="AD113" s="15">
        <f t="shared" si="160"/>
        <v>5.5684378419804599</v>
      </c>
      <c r="AE113" s="15">
        <f t="shared" si="161"/>
        <v>5.6024548190949295</v>
      </c>
      <c r="AF113" s="15">
        <f t="shared" si="162"/>
        <v>5.6380404397272637</v>
      </c>
      <c r="AG113" s="15">
        <f t="shared" si="163"/>
        <v>5.6751651958335101</v>
      </c>
      <c r="AH113" s="15">
        <f t="shared" si="164"/>
        <v>5.7137990864222727</v>
      </c>
      <c r="AI113" s="15">
        <f t="shared" si="165"/>
        <v>5.7539117129132249</v>
      </c>
      <c r="AJ113" s="16">
        <f t="shared" si="166"/>
        <v>5.7954723707390752</v>
      </c>
      <c r="AL113" s="43">
        <v>7</v>
      </c>
      <c r="AM113" s="15">
        <f t="shared" si="179"/>
        <v>5.25</v>
      </c>
      <c r="AN113" s="15">
        <f t="shared" si="167"/>
        <v>4.3324757232533678E-2</v>
      </c>
      <c r="AO113" s="15">
        <f t="shared" si="168"/>
        <v>6.1850779343554124E-2</v>
      </c>
      <c r="AP113" s="15">
        <f t="shared" si="169"/>
        <v>8.0458700042630185E-2</v>
      </c>
      <c r="AQ113" s="15">
        <f t="shared" si="170"/>
        <v>9.9018333553875057E-2</v>
      </c>
      <c r="AR113" s="15">
        <f t="shared" si="171"/>
        <v>0.11740789945439396</v>
      </c>
      <c r="AS113" s="15">
        <f t="shared" si="172"/>
        <v>0.13551475984750128</v>
      </c>
      <c r="AT113" s="15">
        <f t="shared" si="173"/>
        <v>0.1532359966133911</v>
      </c>
      <c r="AU113" s="15">
        <f t="shared" si="174"/>
        <v>0.17047881639115048</v>
      </c>
      <c r="AV113" s="15">
        <f t="shared" si="175"/>
        <v>0.18716078249476828</v>
      </c>
      <c r="AW113" s="16">
        <f t="shared" si="176"/>
        <v>0.2032098808348409</v>
      </c>
    </row>
    <row r="114" spans="11:51">
      <c r="K114" s="6">
        <v>5</v>
      </c>
      <c r="L114" s="7">
        <f t="shared" si="177"/>
        <v>4.9999999999999989E-2</v>
      </c>
      <c r="M114" s="7">
        <f t="shared" si="156"/>
        <v>1.5508062419270823</v>
      </c>
      <c r="N114" s="7">
        <f t="shared" si="156"/>
        <v>1.6507574019219178</v>
      </c>
      <c r="O114" s="13">
        <f t="shared" si="156"/>
        <v>1.7507141400011597</v>
      </c>
      <c r="P114" s="13">
        <f t="shared" si="156"/>
        <v>1.8506755523321747</v>
      </c>
      <c r="Q114" s="13">
        <f t="shared" si="156"/>
        <v>1.9506409203131159</v>
      </c>
      <c r="R114" s="13">
        <f t="shared" si="156"/>
        <v>2.0506096654409878</v>
      </c>
      <c r="S114" s="13">
        <f t="shared" si="156"/>
        <v>2.1505813167606571</v>
      </c>
      <c r="T114" s="13">
        <f t="shared" si="156"/>
        <v>2.2505554869853799</v>
      </c>
      <c r="U114" s="13">
        <f t="shared" si="156"/>
        <v>2.350531854708632</v>
      </c>
      <c r="V114" s="14">
        <f t="shared" si="156"/>
        <v>2.4505101509685696</v>
      </c>
      <c r="X114" s="43">
        <v>5</v>
      </c>
      <c r="Y114" s="15">
        <v>7</v>
      </c>
      <c r="Z114" s="15">
        <f t="shared" si="178"/>
        <v>5.25</v>
      </c>
      <c r="AA114" s="15">
        <f t="shared" si="157"/>
        <v>5.4742579405797098</v>
      </c>
      <c r="AB114" s="15">
        <f t="shared" si="158"/>
        <v>5.5034080350270234</v>
      </c>
      <c r="AC114" s="15">
        <f t="shared" si="159"/>
        <v>5.5342117776608442</v>
      </c>
      <c r="AD114" s="15">
        <f t="shared" si="160"/>
        <v>5.5666417165109525</v>
      </c>
      <c r="AE114" s="15">
        <f t="shared" si="161"/>
        <v>5.6006696028242908</v>
      </c>
      <c r="AF114" s="15">
        <f t="shared" si="162"/>
        <v>5.6362664947640653</v>
      </c>
      <c r="AG114" s="15">
        <f t="shared" si="163"/>
        <v>5.6734028589551082</v>
      </c>
      <c r="AH114" s="15">
        <f t="shared" si="164"/>
        <v>5.7120486692604429</v>
      </c>
      <c r="AI114" s="15">
        <f t="shared" si="165"/>
        <v>5.7521735022511269</v>
      </c>
      <c r="AJ114" s="16">
        <f t="shared" si="166"/>
        <v>5.7937466289094832</v>
      </c>
      <c r="AL114" s="43">
        <v>7</v>
      </c>
      <c r="AM114" s="15">
        <f t="shared" si="179"/>
        <v>5.25</v>
      </c>
      <c r="AN114" s="15">
        <f t="shared" si="167"/>
        <v>4.230954850952811E-2</v>
      </c>
      <c r="AO114" s="15">
        <f t="shared" si="168"/>
        <v>6.0946506425430452E-2</v>
      </c>
      <c r="AP114" s="15">
        <f t="shared" si="169"/>
        <v>7.9654272447161875E-2</v>
      </c>
      <c r="AQ114" s="15">
        <f t="shared" si="170"/>
        <v>9.8304588679921812E-2</v>
      </c>
      <c r="AR114" s="15">
        <f t="shared" si="171"/>
        <v>0.11677707624345283</v>
      </c>
      <c r="AS114" s="15">
        <f t="shared" si="172"/>
        <v>0.13496013109472293</v>
      </c>
      <c r="AT114" s="15">
        <f t="shared" si="173"/>
        <v>0.15275160995771703</v>
      </c>
      <c r="AU114" s="15">
        <f t="shared" si="174"/>
        <v>0.17005931092711707</v>
      </c>
      <c r="AV114" s="15">
        <f t="shared" si="175"/>
        <v>0.18680125865373748</v>
      </c>
      <c r="AW114" s="16">
        <f t="shared" si="176"/>
        <v>0.20290580812505588</v>
      </c>
    </row>
    <row r="115" spans="11:51">
      <c r="K115" s="6">
        <v>6</v>
      </c>
      <c r="L115" s="7">
        <f t="shared" si="177"/>
        <v>-5.0000000000000044E-2</v>
      </c>
      <c r="M115" s="7">
        <f t="shared" si="156"/>
        <v>1.5508062419270823</v>
      </c>
      <c r="N115" s="7">
        <f t="shared" si="156"/>
        <v>1.6507574019219178</v>
      </c>
      <c r="O115" s="13">
        <f t="shared" si="156"/>
        <v>1.7507141400011597</v>
      </c>
      <c r="P115" s="13">
        <f t="shared" si="156"/>
        <v>1.8506755523321747</v>
      </c>
      <c r="Q115" s="13">
        <f t="shared" si="156"/>
        <v>1.9506409203131159</v>
      </c>
      <c r="R115" s="13">
        <f t="shared" si="156"/>
        <v>2.0506096654409878</v>
      </c>
      <c r="S115" s="13">
        <f t="shared" si="156"/>
        <v>2.1505813167606571</v>
      </c>
      <c r="T115" s="13">
        <f t="shared" si="156"/>
        <v>2.2505554869853799</v>
      </c>
      <c r="U115" s="13">
        <f t="shared" si="156"/>
        <v>2.350531854708632</v>
      </c>
      <c r="V115" s="14">
        <f t="shared" si="156"/>
        <v>2.4505101509685696</v>
      </c>
      <c r="X115" s="43">
        <v>6</v>
      </c>
      <c r="Y115" s="15">
        <v>7</v>
      </c>
      <c r="Z115" s="15">
        <f t="shared" si="178"/>
        <v>5.25</v>
      </c>
      <c r="AA115" s="15">
        <f t="shared" si="157"/>
        <v>5.4742579405797098</v>
      </c>
      <c r="AB115" s="15">
        <f t="shared" si="158"/>
        <v>5.5034080350270234</v>
      </c>
      <c r="AC115" s="15">
        <f t="shared" si="159"/>
        <v>5.5342117776608442</v>
      </c>
      <c r="AD115" s="15">
        <f t="shared" si="160"/>
        <v>5.5666417165109525</v>
      </c>
      <c r="AE115" s="15">
        <f t="shared" si="161"/>
        <v>5.6006696028242908</v>
      </c>
      <c r="AF115" s="15">
        <f t="shared" si="162"/>
        <v>5.6362664947640653</v>
      </c>
      <c r="AG115" s="15">
        <f t="shared" si="163"/>
        <v>5.6734028589551082</v>
      </c>
      <c r="AH115" s="15">
        <f t="shared" si="164"/>
        <v>5.7120486692604429</v>
      </c>
      <c r="AI115" s="15">
        <f t="shared" si="165"/>
        <v>5.7521735022511269</v>
      </c>
      <c r="AJ115" s="16">
        <f t="shared" si="166"/>
        <v>5.7937466289094832</v>
      </c>
      <c r="AL115" s="43">
        <v>7</v>
      </c>
      <c r="AM115" s="15">
        <f t="shared" si="179"/>
        <v>5.25</v>
      </c>
      <c r="AN115" s="15">
        <f t="shared" si="167"/>
        <v>4.230954850952811E-2</v>
      </c>
      <c r="AO115" s="15">
        <f t="shared" si="168"/>
        <v>6.0946506425430452E-2</v>
      </c>
      <c r="AP115" s="15">
        <f t="shared" si="169"/>
        <v>7.9654272447161875E-2</v>
      </c>
      <c r="AQ115" s="15">
        <f t="shared" si="170"/>
        <v>9.8304588679921812E-2</v>
      </c>
      <c r="AR115" s="15">
        <f t="shared" si="171"/>
        <v>0.11677707624345283</v>
      </c>
      <c r="AS115" s="15">
        <f t="shared" si="172"/>
        <v>0.13496013109472293</v>
      </c>
      <c r="AT115" s="15">
        <f t="shared" si="173"/>
        <v>0.15275160995771703</v>
      </c>
      <c r="AU115" s="15">
        <f t="shared" si="174"/>
        <v>0.17005931092711707</v>
      </c>
      <c r="AV115" s="15">
        <f t="shared" si="175"/>
        <v>0.18680125865373748</v>
      </c>
      <c r="AW115" s="16">
        <f t="shared" si="176"/>
        <v>0.20290580812505588</v>
      </c>
    </row>
    <row r="116" spans="11:51">
      <c r="K116" s="6">
        <v>7</v>
      </c>
      <c r="L116" s="7">
        <f t="shared" si="177"/>
        <v>-0.15000000000000013</v>
      </c>
      <c r="M116" s="7">
        <f t="shared" si="156"/>
        <v>1.5572411502397439</v>
      </c>
      <c r="N116" s="7">
        <f t="shared" si="156"/>
        <v>1.656804152578089</v>
      </c>
      <c r="O116" s="13">
        <f t="shared" si="156"/>
        <v>1.7564168070250297</v>
      </c>
      <c r="P116" s="13">
        <f t="shared" si="156"/>
        <v>1.8560711193270587</v>
      </c>
      <c r="Q116" s="13">
        <f t="shared" si="156"/>
        <v>1.9557607215607946</v>
      </c>
      <c r="R116" s="13">
        <f t="shared" si="156"/>
        <v>2.0554804791094465</v>
      </c>
      <c r="S116" s="13">
        <f t="shared" si="156"/>
        <v>2.155226206225231</v>
      </c>
      <c r="T116" s="13">
        <f t="shared" si="156"/>
        <v>2.2549944567559361</v>
      </c>
      <c r="U116" s="13">
        <f t="shared" si="156"/>
        <v>2.3547823678633235</v>
      </c>
      <c r="V116" s="14">
        <f t="shared" si="156"/>
        <v>2.4545875417267156</v>
      </c>
      <c r="X116" s="43">
        <v>7</v>
      </c>
      <c r="Y116" s="15">
        <v>7</v>
      </c>
      <c r="Z116" s="15">
        <f t="shared" si="178"/>
        <v>5.25</v>
      </c>
      <c r="AA116" s="15">
        <f t="shared" si="157"/>
        <v>5.4760843675020201</v>
      </c>
      <c r="AB116" s="15">
        <f t="shared" si="158"/>
        <v>5.5052247910507708</v>
      </c>
      <c r="AC116" s="15">
        <f t="shared" si="159"/>
        <v>5.5360184248248308</v>
      </c>
      <c r="AD116" s="15">
        <f t="shared" si="160"/>
        <v>5.5684378419804599</v>
      </c>
      <c r="AE116" s="15">
        <f t="shared" si="161"/>
        <v>5.6024548190949295</v>
      </c>
      <c r="AF116" s="15">
        <f t="shared" si="162"/>
        <v>5.6380404397272637</v>
      </c>
      <c r="AG116" s="15">
        <f t="shared" si="163"/>
        <v>5.6751651958335101</v>
      </c>
      <c r="AH116" s="15">
        <f t="shared" si="164"/>
        <v>5.7137990864222727</v>
      </c>
      <c r="AI116" s="15">
        <f t="shared" si="165"/>
        <v>5.7539117129132249</v>
      </c>
      <c r="AJ116" s="16">
        <f t="shared" si="166"/>
        <v>5.7954723707390752</v>
      </c>
      <c r="AL116" s="43">
        <v>7</v>
      </c>
      <c r="AM116" s="15">
        <f t="shared" si="179"/>
        <v>5.25</v>
      </c>
      <c r="AN116" s="15">
        <f t="shared" si="167"/>
        <v>4.3324757232533678E-2</v>
      </c>
      <c r="AO116" s="15">
        <f t="shared" si="168"/>
        <v>6.1850779343554124E-2</v>
      </c>
      <c r="AP116" s="15">
        <f t="shared" si="169"/>
        <v>8.0458700042630185E-2</v>
      </c>
      <c r="AQ116" s="15">
        <f t="shared" si="170"/>
        <v>9.9018333553875057E-2</v>
      </c>
      <c r="AR116" s="15">
        <f t="shared" si="171"/>
        <v>0.11740789945439396</v>
      </c>
      <c r="AS116" s="15">
        <f t="shared" si="172"/>
        <v>0.13551475984750128</v>
      </c>
      <c r="AT116" s="15">
        <f t="shared" si="173"/>
        <v>0.1532359966133911</v>
      </c>
      <c r="AU116" s="15">
        <f t="shared" si="174"/>
        <v>0.17047881639115048</v>
      </c>
      <c r="AV116" s="15">
        <f t="shared" si="175"/>
        <v>0.18716078249476828</v>
      </c>
      <c r="AW116" s="16">
        <f t="shared" si="176"/>
        <v>0.2032098808348409</v>
      </c>
    </row>
    <row r="117" spans="11:51">
      <c r="K117" s="6">
        <v>8</v>
      </c>
      <c r="L117" s="7">
        <f t="shared" si="177"/>
        <v>-0.25000000000000011</v>
      </c>
      <c r="M117" s="7">
        <f t="shared" si="156"/>
        <v>1.5700318468107584</v>
      </c>
      <c r="N117" s="7">
        <f t="shared" si="156"/>
        <v>1.6688319268278635</v>
      </c>
      <c r="O117" s="13">
        <f t="shared" si="156"/>
        <v>1.7677669529663689</v>
      </c>
      <c r="P117" s="13">
        <f t="shared" si="156"/>
        <v>1.8668154702594471</v>
      </c>
      <c r="Q117" s="13">
        <f t="shared" si="156"/>
        <v>1.9659603251337499</v>
      </c>
      <c r="R117" s="13">
        <f t="shared" si="156"/>
        <v>2.0651876428063383</v>
      </c>
      <c r="S117" s="13">
        <f t="shared" si="156"/>
        <v>2.1644860821913365</v>
      </c>
      <c r="T117" s="13">
        <f t="shared" si="156"/>
        <v>2.2638462845343543</v>
      </c>
      <c r="U117" s="13">
        <f t="shared" si="156"/>
        <v>2.363260459619295</v>
      </c>
      <c r="V117" s="14">
        <f t="shared" si="156"/>
        <v>2.4627220712049507</v>
      </c>
      <c r="X117" s="43">
        <v>8</v>
      </c>
      <c r="Y117" s="15">
        <v>7</v>
      </c>
      <c r="Z117" s="15">
        <f t="shared" si="178"/>
        <v>5.25</v>
      </c>
      <c r="AA117" s="15">
        <f t="shared" si="157"/>
        <v>5.4797353950715539</v>
      </c>
      <c r="AB117" s="15">
        <f t="shared" si="158"/>
        <v>5.5088565056643111</v>
      </c>
      <c r="AC117" s="15">
        <f t="shared" si="159"/>
        <v>5.5396299515400846</v>
      </c>
      <c r="AD117" s="15">
        <f t="shared" si="160"/>
        <v>5.5720283559938926</v>
      </c>
      <c r="AE117" s="15">
        <f t="shared" si="161"/>
        <v>5.6060235461510501</v>
      </c>
      <c r="AF117" s="15">
        <f t="shared" si="162"/>
        <v>5.6415866562519446</v>
      </c>
      <c r="AG117" s="15">
        <f t="shared" si="163"/>
        <v>5.6786882288077765</v>
      </c>
      <c r="AH117" s="15">
        <f t="shared" si="164"/>
        <v>5.717298313014636</v>
      </c>
      <c r="AI117" s="15">
        <f t="shared" si="165"/>
        <v>5.7573865598898255</v>
      </c>
      <c r="AJ117" s="16">
        <f t="shared" si="166"/>
        <v>5.7989223136717403</v>
      </c>
      <c r="AL117" s="43">
        <v>7</v>
      </c>
      <c r="AM117" s="15">
        <f t="shared" si="179"/>
        <v>5.25</v>
      </c>
      <c r="AN117" s="15">
        <f t="shared" si="167"/>
        <v>4.5320297492141406E-2</v>
      </c>
      <c r="AO117" s="15">
        <f t="shared" si="168"/>
        <v>6.3630630210680966E-2</v>
      </c>
      <c r="AP117" s="15">
        <f t="shared" si="169"/>
        <v>8.2043659117493492E-2</v>
      </c>
      <c r="AQ117" s="15">
        <f t="shared" si="170"/>
        <v>0.10042572574249881</v>
      </c>
      <c r="AR117" s="15">
        <f t="shared" si="171"/>
        <v>0.11865250765571837</v>
      </c>
      <c r="AS117" s="15">
        <f t="shared" si="172"/>
        <v>0.13660948104769907</v>
      </c>
      <c r="AT117" s="15">
        <f t="shared" si="173"/>
        <v>0.15419230720735816</v>
      </c>
      <c r="AU117" s="15">
        <f t="shared" si="174"/>
        <v>0.17130710321844014</v>
      </c>
      <c r="AV117" s="15">
        <f t="shared" si="175"/>
        <v>0.18787057839278293</v>
      </c>
      <c r="AW117" s="16">
        <f t="shared" si="176"/>
        <v>0.20381003182628013</v>
      </c>
    </row>
    <row r="118" spans="11:51">
      <c r="K118" s="6">
        <v>9</v>
      </c>
      <c r="L118" s="7">
        <f t="shared" si="177"/>
        <v>-0.35000000000000009</v>
      </c>
      <c r="M118" s="7">
        <f t="shared" si="156"/>
        <v>1.5890248582070705</v>
      </c>
      <c r="N118" s="7">
        <f t="shared" si="156"/>
        <v>1.6867127793432999</v>
      </c>
      <c r="O118" s="13">
        <f t="shared" si="156"/>
        <v>1.7846568297574747</v>
      </c>
      <c r="P118" s="13">
        <f t="shared" si="156"/>
        <v>1.8828170383762732</v>
      </c>
      <c r="Q118" s="13">
        <f t="shared" si="156"/>
        <v>1.9811612756158949</v>
      </c>
      <c r="R118" s="13">
        <f t="shared" si="156"/>
        <v>2.0796634343085421</v>
      </c>
      <c r="S118" s="13">
        <f t="shared" si="156"/>
        <v>2.178302091079197</v>
      </c>
      <c r="T118" s="13">
        <f t="shared" si="156"/>
        <v>2.2770595073471402</v>
      </c>
      <c r="U118" s="13">
        <f t="shared" si="156"/>
        <v>2.3759208741033446</v>
      </c>
      <c r="V118" s="14">
        <f t="shared" si="156"/>
        <v>2.4748737341529168</v>
      </c>
      <c r="X118" s="43">
        <v>9</v>
      </c>
      <c r="Y118" s="15">
        <v>7</v>
      </c>
      <c r="Z118" s="15">
        <f t="shared" si="178"/>
        <v>5.25</v>
      </c>
      <c r="AA118" s="15">
        <f t="shared" si="157"/>
        <v>5.4852073798535637</v>
      </c>
      <c r="AB118" s="15">
        <f t="shared" si="158"/>
        <v>5.5142995928766876</v>
      </c>
      <c r="AC118" s="15">
        <f t="shared" si="159"/>
        <v>5.5450428312142011</v>
      </c>
      <c r="AD118" s="15">
        <f t="shared" si="160"/>
        <v>5.5774097930849589</v>
      </c>
      <c r="AE118" s="15">
        <f t="shared" si="161"/>
        <v>5.6113723811559684</v>
      </c>
      <c r="AF118" s="15">
        <f t="shared" si="162"/>
        <v>5.6469018054150721</v>
      </c>
      <c r="AG118" s="15">
        <f t="shared" si="163"/>
        <v>5.6839686839390664</v>
      </c>
      <c r="AH118" s="15">
        <f t="shared" si="164"/>
        <v>5.7225431409470389</v>
      </c>
      <c r="AI118" s="15">
        <f t="shared" si="165"/>
        <v>5.7625949016046585</v>
      </c>
      <c r="AJ118" s="16">
        <f t="shared" si="166"/>
        <v>5.8040933831219501</v>
      </c>
      <c r="AL118" s="43">
        <v>7</v>
      </c>
      <c r="AM118" s="15">
        <f t="shared" si="179"/>
        <v>5.25</v>
      </c>
      <c r="AN118" s="15">
        <f t="shared" si="167"/>
        <v>4.822932532400255E-2</v>
      </c>
      <c r="AO118" s="15">
        <f t="shared" si="168"/>
        <v>6.6230780881593121E-2</v>
      </c>
      <c r="AP118" s="15">
        <f t="shared" si="169"/>
        <v>8.4362924612564297E-2</v>
      </c>
      <c r="AQ118" s="15">
        <f t="shared" si="170"/>
        <v>0.10248775643622725</v>
      </c>
      <c r="AR118" s="15">
        <f t="shared" si="171"/>
        <v>0.12047773822119205</v>
      </c>
      <c r="AS118" s="15">
        <f t="shared" si="172"/>
        <v>0.13821593684846339</v>
      </c>
      <c r="AT118" s="15">
        <f t="shared" si="173"/>
        <v>0.1555961828886715</v>
      </c>
      <c r="AU118" s="15">
        <f t="shared" si="174"/>
        <v>0.1725231775639974</v>
      </c>
      <c r="AV118" s="15">
        <f t="shared" si="175"/>
        <v>0.18891251079728266</v>
      </c>
      <c r="AW118" s="16">
        <f t="shared" si="176"/>
        <v>0.20469057288966822</v>
      </c>
    </row>
    <row r="119" spans="11:51">
      <c r="K119" s="8">
        <v>10</v>
      </c>
      <c r="L119" s="9">
        <f t="shared" si="177"/>
        <v>-0.45000000000000007</v>
      </c>
      <c r="M119" s="9">
        <f t="shared" si="156"/>
        <v>1.6140012391568974</v>
      </c>
      <c r="N119" s="9">
        <f t="shared" si="156"/>
        <v>1.710263137648707</v>
      </c>
      <c r="O119" s="17">
        <f t="shared" si="156"/>
        <v>1.8069310999592652</v>
      </c>
      <c r="P119" s="17">
        <f t="shared" si="156"/>
        <v>1.9039432764659772</v>
      </c>
      <c r="Q119" s="17">
        <f t="shared" si="156"/>
        <v>2.00124960961895</v>
      </c>
      <c r="R119" s="17">
        <f t="shared" si="156"/>
        <v>2.0988091861815357</v>
      </c>
      <c r="S119" s="17">
        <f t="shared" si="156"/>
        <v>2.1965882636488798</v>
      </c>
      <c r="T119" s="17">
        <f t="shared" si="156"/>
        <v>2.2945587811167529</v>
      </c>
      <c r="U119" s="17">
        <f t="shared" si="156"/>
        <v>2.3926972228010799</v>
      </c>
      <c r="V119" s="18">
        <f t="shared" si="156"/>
        <v>2.4909837414162301</v>
      </c>
      <c r="X119" s="44">
        <v>10</v>
      </c>
      <c r="Y119" s="23">
        <v>7</v>
      </c>
      <c r="Z119" s="23">
        <f t="shared" si="178"/>
        <v>5.25</v>
      </c>
      <c r="AA119" s="23">
        <f t="shared" si="157"/>
        <v>5.4924948793785875</v>
      </c>
      <c r="AB119" s="23">
        <f t="shared" si="158"/>
        <v>5.5215486957917888</v>
      </c>
      <c r="AC119" s="23">
        <f t="shared" si="159"/>
        <v>5.5522517954429986</v>
      </c>
      <c r="AD119" s="23">
        <f t="shared" si="160"/>
        <v>5.5845769759221691</v>
      </c>
      <c r="AE119" s="23">
        <f t="shared" si="161"/>
        <v>5.6184962400984126</v>
      </c>
      <c r="AF119" s="23">
        <f t="shared" si="162"/>
        <v>5.6539808984466866</v>
      </c>
      <c r="AG119" s="23">
        <f t="shared" si="163"/>
        <v>5.691001669302163</v>
      </c>
      <c r="AH119" s="23">
        <f t="shared" si="164"/>
        <v>5.7295287764352842</v>
      </c>
      <c r="AI119" s="23">
        <f t="shared" si="165"/>
        <v>5.7695320434156532</v>
      </c>
      <c r="AJ119" s="24">
        <f t="shared" si="166"/>
        <v>5.8109809843089311</v>
      </c>
      <c r="AL119" s="44">
        <v>7</v>
      </c>
      <c r="AM119" s="23">
        <f t="shared" si="179"/>
        <v>5.25</v>
      </c>
      <c r="AN119" s="23">
        <f t="shared" si="167"/>
        <v>5.1958354215715957E-2</v>
      </c>
      <c r="AO119" s="23">
        <f t="shared" si="168"/>
        <v>6.9573276905671749E-2</v>
      </c>
      <c r="AP119" s="23">
        <f t="shared" si="169"/>
        <v>8.735086893481378E-2</v>
      </c>
      <c r="AQ119" s="23">
        <f t="shared" si="170"/>
        <v>0.1051487380497282</v>
      </c>
      <c r="AR119" s="23">
        <f t="shared" si="171"/>
        <v>0.12283603502596863</v>
      </c>
      <c r="AS119" s="23">
        <f t="shared" si="172"/>
        <v>0.14029330918006</v>
      </c>
      <c r="AT119" s="23">
        <f t="shared" si="173"/>
        <v>0.15741245278944352</v>
      </c>
      <c r="AU119" s="23">
        <f t="shared" si="174"/>
        <v>0.17409664864724714</v>
      </c>
      <c r="AV119" s="23">
        <f t="shared" si="175"/>
        <v>0.19026026972050789</v>
      </c>
      <c r="AW119" s="24">
        <f t="shared" si="176"/>
        <v>0.20582870317370883</v>
      </c>
    </row>
    <row r="120" spans="11:51">
      <c r="K120" s="1"/>
      <c r="L120" s="1"/>
      <c r="M120" s="1"/>
      <c r="N120" s="1"/>
      <c r="O120" s="10"/>
      <c r="P120" s="10"/>
    </row>
    <row r="121" spans="11:51" ht="30">
      <c r="K121" s="4" t="s">
        <v>18</v>
      </c>
      <c r="L121" s="5" t="s">
        <v>17</v>
      </c>
      <c r="M121" s="5">
        <v>1</v>
      </c>
      <c r="N121" s="5">
        <v>2</v>
      </c>
      <c r="O121" s="11">
        <v>3</v>
      </c>
      <c r="P121" s="11">
        <v>4</v>
      </c>
      <c r="Q121" s="11">
        <v>5</v>
      </c>
      <c r="R121" s="11">
        <v>6</v>
      </c>
      <c r="S121" s="11">
        <v>7</v>
      </c>
      <c r="T121" s="11">
        <v>8</v>
      </c>
      <c r="U121" s="11">
        <v>9</v>
      </c>
      <c r="V121" s="12">
        <v>10</v>
      </c>
    </row>
    <row r="122" spans="11:51">
      <c r="K122" s="6"/>
      <c r="L122" s="7" t="s">
        <v>125</v>
      </c>
      <c r="M122" s="7">
        <f t="shared" ref="M122:V122" si="180">$E$7+($B$17/2+$B$17*(M121-1))</f>
        <v>1.55</v>
      </c>
      <c r="N122" s="7">
        <f t="shared" si="180"/>
        <v>1.65</v>
      </c>
      <c r="O122" s="7">
        <f t="shared" si="180"/>
        <v>1.75</v>
      </c>
      <c r="P122" s="7">
        <f t="shared" si="180"/>
        <v>1.85</v>
      </c>
      <c r="Q122" s="7">
        <f t="shared" si="180"/>
        <v>1.95</v>
      </c>
      <c r="R122" s="7">
        <f t="shared" si="180"/>
        <v>2.0499999999999998</v>
      </c>
      <c r="S122" s="7">
        <f t="shared" si="180"/>
        <v>2.1500000000000004</v>
      </c>
      <c r="T122" s="7">
        <f t="shared" si="180"/>
        <v>2.25</v>
      </c>
      <c r="U122" s="7">
        <f t="shared" si="180"/>
        <v>2.35</v>
      </c>
      <c r="V122" s="7">
        <f t="shared" si="180"/>
        <v>2.4500000000000002</v>
      </c>
    </row>
    <row r="123" spans="11:51">
      <c r="K123" s="6" t="s">
        <v>19</v>
      </c>
      <c r="L123" s="7" t="s">
        <v>126</v>
      </c>
      <c r="M123" s="7"/>
      <c r="N123" s="7"/>
      <c r="O123" s="13"/>
      <c r="P123" s="13"/>
      <c r="Q123" s="15"/>
      <c r="R123" s="15"/>
      <c r="S123" s="15"/>
      <c r="T123" s="15"/>
      <c r="U123" s="15"/>
      <c r="V123" s="16"/>
      <c r="AA123" s="2" t="s">
        <v>95</v>
      </c>
      <c r="AB123" s="2" t="s">
        <v>96</v>
      </c>
      <c r="AC123" s="2" t="s">
        <v>97</v>
      </c>
      <c r="AD123" s="2" t="s">
        <v>98</v>
      </c>
      <c r="AE123" s="2" t="s">
        <v>99</v>
      </c>
      <c r="AF123" s="2" t="s">
        <v>100</v>
      </c>
      <c r="AG123" s="2" t="s">
        <v>101</v>
      </c>
      <c r="AH123" s="2" t="s">
        <v>102</v>
      </c>
      <c r="AI123" s="2" t="s">
        <v>103</v>
      </c>
      <c r="AJ123" s="2" t="s">
        <v>104</v>
      </c>
      <c r="AX123" s="2" t="s">
        <v>129</v>
      </c>
      <c r="AY123" s="2">
        <f>SUM(AN124:AW133)</f>
        <v>6.2753558785520598</v>
      </c>
    </row>
    <row r="124" spans="11:51">
      <c r="K124" s="6">
        <v>1</v>
      </c>
      <c r="L124" s="7">
        <f>$B$9/2-($B$18/2+$B$18*(K124-1))</f>
        <v>0.45</v>
      </c>
      <c r="M124" s="7">
        <f t="shared" ref="M124:V133" si="181">SQRT(M$24^2+$L124^2)</f>
        <v>1.6140012391568974</v>
      </c>
      <c r="N124" s="7">
        <f t="shared" si="181"/>
        <v>1.710263137648707</v>
      </c>
      <c r="O124" s="13">
        <f t="shared" si="181"/>
        <v>1.8069310999592652</v>
      </c>
      <c r="P124" s="13">
        <f t="shared" si="181"/>
        <v>1.9039432764659772</v>
      </c>
      <c r="Q124" s="13">
        <f t="shared" si="181"/>
        <v>2.00124960961895</v>
      </c>
      <c r="R124" s="13">
        <f t="shared" si="181"/>
        <v>2.0988091861815357</v>
      </c>
      <c r="S124" s="13">
        <f t="shared" si="181"/>
        <v>2.1965882636488798</v>
      </c>
      <c r="T124" s="13">
        <f t="shared" si="181"/>
        <v>2.2945587811167529</v>
      </c>
      <c r="U124" s="13">
        <f t="shared" si="181"/>
        <v>2.3926972228010799</v>
      </c>
      <c r="V124" s="14">
        <f t="shared" si="181"/>
        <v>2.4909837414162301</v>
      </c>
      <c r="X124" s="55">
        <v>1</v>
      </c>
      <c r="Y124" s="25">
        <v>8</v>
      </c>
      <c r="Z124" s="25">
        <f>Y124*$B$19</f>
        <v>6</v>
      </c>
      <c r="AA124" s="25">
        <f t="shared" ref="AA124:AA133" si="182">SQRT($Z124^2+M124^2)</f>
        <v>6.2132922030112185</v>
      </c>
      <c r="AB124" s="25">
        <f t="shared" ref="AB124:AB133" si="183">SQRT($Z124^2+N124^2)</f>
        <v>6.2389903029256262</v>
      </c>
      <c r="AC124" s="25">
        <f t="shared" ref="AC124:AC133" si="184">SQRT($Z124^2+O124^2)</f>
        <v>6.2661790590438766</v>
      </c>
      <c r="AD124" s="25">
        <f t="shared" ref="AD124:AD133" si="185">SQRT($Z124^2+P124^2)</f>
        <v>6.294839156007086</v>
      </c>
      <c r="AE124" s="25">
        <f t="shared" ref="AE124:AE133" si="186">SQRT($Z124^2+Q124^2)</f>
        <v>6.3249505926924048</v>
      </c>
      <c r="AF124" s="25">
        <f t="shared" ref="AF124:AF133" si="187">SQRT($Z124^2+R124^2)</f>
        <v>6.3564927436440923</v>
      </c>
      <c r="AG124" s="25">
        <f t="shared" ref="AG124:AG133" si="188">SQRT($Z124^2+S124^2)</f>
        <v>6.3894444202919551</v>
      </c>
      <c r="AH124" s="25">
        <f t="shared" ref="AH124:AH133" si="189">SQRT($Z124^2+T124^2)</f>
        <v>6.4237839316091572</v>
      </c>
      <c r="AI124" s="25">
        <f t="shared" ref="AI124:AI133" si="190">SQRT($Z124^2+U124^2)</f>
        <v>6.4594891438874642</v>
      </c>
      <c r="AJ124" s="20">
        <f t="shared" ref="AJ124:AJ133" si="191">SQRT($Z124^2+V26^2)</f>
        <v>6.4965375393358578</v>
      </c>
      <c r="AL124" s="55">
        <v>8</v>
      </c>
      <c r="AM124" s="25">
        <f>AL124*$B$19</f>
        <v>6</v>
      </c>
      <c r="AN124" s="25">
        <f t="shared" ref="AN124:AN133" si="192">$B$20/(2*PI())*(3*M124^2*$AM124/AA124^5-(1-2*$B$11)/(AA124*(AA124+$AM124)))*(M$122/M124)</f>
        <v>1.2391549805877148E-2</v>
      </c>
      <c r="AO124" s="25">
        <f t="shared" ref="AO124:AO133" si="193">$B$20/(2*PI())*(3*N124^2*$AM124/AB124^5-(1-2*$B$11)/(AB124*(AB124+$AM124)))*(N$122/N124)</f>
        <v>2.3839760932355222E-2</v>
      </c>
      <c r="AP124" s="25">
        <f t="shared" ref="AP124:AP133" si="194">$B$20/(2*PI())*(3*O124^2*$AM124/AC124^5-(1-2*$B$11)/(AC124*(AC124+$AM124)))*(O$122/O124)</f>
        <v>3.5562644124455173E-2</v>
      </c>
      <c r="AQ124" s="25">
        <f t="shared" ref="AQ124:AQ133" si="195">$B$20/(2*PI())*(3*P124^2*$AM124/AD124^5-(1-2*$B$11)/(AD124*(AD124+$AM124)))*(P$122/P124)</f>
        <v>4.7475949745280556E-2</v>
      </c>
      <c r="AR124" s="25">
        <f t="shared" ref="AR124:AR133" si="196">$B$20/(2*PI())*(3*Q124^2*$AM124/AE124^5-(1-2*$B$11)/(AE124*(AE124+$AM124)))*(Q$122/Q124)</f>
        <v>5.9500732997971741E-2</v>
      </c>
      <c r="AS124" s="25">
        <f t="shared" ref="AS124:AS133" si="197">$B$20/(2*PI())*(3*R124^2*$AM124/AF124^5-(1-2*$B$11)/(AF124*(AF124+$AM124)))*(R$122/R124)</f>
        <v>7.1563087033625031E-2</v>
      </c>
      <c r="AT124" s="25">
        <f t="shared" ref="AT124:AT133" si="198">$B$20/(2*PI())*(3*S124^2*$AM124/AG124^5-(1-2*$B$11)/(AG124*(AG124+$AM124)))*(S$122/S124)</f>
        <v>8.3594035854983317E-2</v>
      </c>
      <c r="AU124" s="25">
        <f t="shared" ref="AU124:AU133" si="199">$B$20/(2*PI())*(3*T124^2*$AM124/AH124^5-(1-2*$B$11)/(AH124*(AH124+$AM124)))*(T$122/T124)</f>
        <v>9.5529513713598913E-2</v>
      </c>
      <c r="AV124" s="25">
        <f t="shared" ref="AV124:AV133" si="200">$B$20/(2*PI())*(3*U124^2*$AM124/AI124^5-(1-2*$B$11)/(AI124*(AI124+$AM124)))*(U$122/U124)</f>
        <v>0.10731038284302777</v>
      </c>
      <c r="AW124" s="20">
        <f t="shared" ref="AW124:AW133" si="201">$B$20/(2*PI())*(3*V124^2*$AM124/AJ124^5-(1-2*$B$11)/(AJ124*(AJ124+$AM124)))*(V$122/V124)</f>
        <v>0.11888245816220949</v>
      </c>
    </row>
    <row r="125" spans="11:51">
      <c r="K125" s="6">
        <v>2</v>
      </c>
      <c r="L125" s="7">
        <f t="shared" ref="L125:L133" si="202">$B$9/2-($B$18/2+$B$18*(K125-1))</f>
        <v>0.35</v>
      </c>
      <c r="M125" s="7">
        <f t="shared" si="181"/>
        <v>1.5890248582070705</v>
      </c>
      <c r="N125" s="7">
        <f t="shared" si="181"/>
        <v>1.6867127793432999</v>
      </c>
      <c r="O125" s="13">
        <f t="shared" si="181"/>
        <v>1.7846568297574747</v>
      </c>
      <c r="P125" s="13">
        <f t="shared" si="181"/>
        <v>1.8828170383762732</v>
      </c>
      <c r="Q125" s="13">
        <f t="shared" si="181"/>
        <v>1.9811612756158949</v>
      </c>
      <c r="R125" s="13">
        <f t="shared" si="181"/>
        <v>2.0796634343085421</v>
      </c>
      <c r="S125" s="13">
        <f t="shared" si="181"/>
        <v>2.1783020910791966</v>
      </c>
      <c r="T125" s="13">
        <f t="shared" si="181"/>
        <v>2.2770595073471398</v>
      </c>
      <c r="U125" s="13">
        <f t="shared" si="181"/>
        <v>2.3759208741033446</v>
      </c>
      <c r="V125" s="14">
        <f t="shared" si="181"/>
        <v>2.4748737341529163</v>
      </c>
      <c r="X125" s="43">
        <v>2</v>
      </c>
      <c r="Y125" s="15">
        <v>8</v>
      </c>
      <c r="Z125" s="15">
        <f t="shared" ref="Z125:Z133" si="203">Y125*$B$19</f>
        <v>6</v>
      </c>
      <c r="AA125" s="15">
        <f t="shared" si="182"/>
        <v>6.2068510534730894</v>
      </c>
      <c r="AB125" s="15">
        <f t="shared" si="183"/>
        <v>6.2325757115337153</v>
      </c>
      <c r="AC125" s="15">
        <f t="shared" si="184"/>
        <v>6.2597923288236972</v>
      </c>
      <c r="AD125" s="15">
        <f t="shared" si="185"/>
        <v>6.2884815337249744</v>
      </c>
      <c r="AE125" s="15">
        <f t="shared" si="186"/>
        <v>6.3186232677696488</v>
      </c>
      <c r="AF125" s="15">
        <f t="shared" si="187"/>
        <v>6.350196847342608</v>
      </c>
      <c r="AG125" s="15">
        <f t="shared" si="188"/>
        <v>6.3831810251629237</v>
      </c>
      <c r="AH125" s="15">
        <f t="shared" si="189"/>
        <v>6.417554051194271</v>
      </c>
      <c r="AI125" s="15">
        <f t="shared" si="190"/>
        <v>6.4532937326608657</v>
      </c>
      <c r="AJ125" s="16">
        <f t="shared" si="191"/>
        <v>6.4903774928735851</v>
      </c>
      <c r="AL125" s="43">
        <v>8</v>
      </c>
      <c r="AM125" s="15">
        <f t="shared" ref="AM125:AM133" si="204">AL125*$B$19</f>
        <v>6</v>
      </c>
      <c r="AN125" s="15">
        <f t="shared" si="192"/>
        <v>9.6298775928784375E-3</v>
      </c>
      <c r="AO125" s="15">
        <f t="shared" si="193"/>
        <v>2.1330785882519711E-2</v>
      </c>
      <c r="AP125" s="15">
        <f t="shared" si="194"/>
        <v>3.3283154211401371E-2</v>
      </c>
      <c r="AQ125" s="15">
        <f t="shared" si="195"/>
        <v>4.5406555900817352E-2</v>
      </c>
      <c r="AR125" s="15">
        <f t="shared" si="196"/>
        <v>5.7624966868382289E-2</v>
      </c>
      <c r="AS125" s="15">
        <f t="shared" si="197"/>
        <v>6.9866722109836993E-2</v>
      </c>
      <c r="AT125" s="15">
        <f t="shared" si="198"/>
        <v>8.2064576038207243E-2</v>
      </c>
      <c r="AU125" s="15">
        <f t="shared" si="199"/>
        <v>9.4155807740189751E-2</v>
      </c>
      <c r="AV125" s="15">
        <f t="shared" si="200"/>
        <v>0.10608233366394264</v>
      </c>
      <c r="AW125" s="16">
        <f t="shared" si="201"/>
        <v>0.11779080422174656</v>
      </c>
    </row>
    <row r="126" spans="11:51">
      <c r="K126" s="6">
        <v>3</v>
      </c>
      <c r="L126" s="7">
        <f t="shared" si="202"/>
        <v>0.25</v>
      </c>
      <c r="M126" s="7">
        <f t="shared" si="181"/>
        <v>1.5700318468107584</v>
      </c>
      <c r="N126" s="7">
        <f t="shared" si="181"/>
        <v>1.6688319268278635</v>
      </c>
      <c r="O126" s="13">
        <f t="shared" si="181"/>
        <v>1.7677669529663689</v>
      </c>
      <c r="P126" s="13">
        <f t="shared" si="181"/>
        <v>1.8668154702594471</v>
      </c>
      <c r="Q126" s="13">
        <f t="shared" si="181"/>
        <v>1.9659603251337499</v>
      </c>
      <c r="R126" s="13">
        <f t="shared" si="181"/>
        <v>2.0651876428063383</v>
      </c>
      <c r="S126" s="13">
        <f t="shared" si="181"/>
        <v>2.1644860821913365</v>
      </c>
      <c r="T126" s="13">
        <f t="shared" si="181"/>
        <v>2.2638462845343543</v>
      </c>
      <c r="U126" s="13">
        <f t="shared" si="181"/>
        <v>2.363260459619295</v>
      </c>
      <c r="V126" s="14">
        <f t="shared" si="181"/>
        <v>2.4627220712049507</v>
      </c>
      <c r="X126" s="43">
        <v>3</v>
      </c>
      <c r="Y126" s="15">
        <v>8</v>
      </c>
      <c r="Z126" s="15">
        <f t="shared" si="203"/>
        <v>6</v>
      </c>
      <c r="AA126" s="15">
        <f t="shared" si="182"/>
        <v>6.202015801334273</v>
      </c>
      <c r="AB126" s="15">
        <f t="shared" si="183"/>
        <v>6.2277604321296751</v>
      </c>
      <c r="AC126" s="15">
        <f t="shared" si="184"/>
        <v>6.2549980015984019</v>
      </c>
      <c r="AD126" s="15">
        <f t="shared" si="185"/>
        <v>6.283709095749102</v>
      </c>
      <c r="AE126" s="15">
        <f t="shared" si="186"/>
        <v>6.3138736129257449</v>
      </c>
      <c r="AF126" s="15">
        <f t="shared" si="187"/>
        <v>6.3454708257149841</v>
      </c>
      <c r="AG126" s="15">
        <f t="shared" si="188"/>
        <v>6.3784794426258049</v>
      </c>
      <c r="AH126" s="15">
        <f t="shared" si="189"/>
        <v>6.4128776691903298</v>
      </c>
      <c r="AI126" s="15">
        <f t="shared" si="190"/>
        <v>6.448643268161141</v>
      </c>
      <c r="AJ126" s="16">
        <f t="shared" si="191"/>
        <v>6.4857536185088005</v>
      </c>
      <c r="AL126" s="43">
        <v>8</v>
      </c>
      <c r="AM126" s="15">
        <f t="shared" si="204"/>
        <v>6</v>
      </c>
      <c r="AN126" s="15">
        <f t="shared" si="192"/>
        <v>7.4812916017943879E-3</v>
      </c>
      <c r="AO126" s="15">
        <f t="shared" si="193"/>
        <v>1.938506949824258E-2</v>
      </c>
      <c r="AP126" s="15">
        <f t="shared" si="194"/>
        <v>3.1519957240227846E-2</v>
      </c>
      <c r="AQ126" s="15">
        <f t="shared" si="195"/>
        <v>4.3809181000175453E-2</v>
      </c>
      <c r="AR126" s="15">
        <f t="shared" si="196"/>
        <v>5.6179455367917498E-2</v>
      </c>
      <c r="AS126" s="15">
        <f t="shared" si="197"/>
        <v>6.8561185781334341E-2</v>
      </c>
      <c r="AT126" s="15">
        <f t="shared" si="198"/>
        <v>8.0888705039799808E-2</v>
      </c>
      <c r="AU126" s="15">
        <f t="shared" si="199"/>
        <v>9.3100506223495541E-2</v>
      </c>
      <c r="AV126" s="15">
        <f t="shared" si="200"/>
        <v>0.10513944885959654</v>
      </c>
      <c r="AW126" s="16">
        <f t="shared" si="201"/>
        <v>0.11695292459244361</v>
      </c>
    </row>
    <row r="127" spans="11:51">
      <c r="K127" s="6">
        <v>4</v>
      </c>
      <c r="L127" s="7">
        <f t="shared" si="202"/>
        <v>0.14999999999999997</v>
      </c>
      <c r="M127" s="7">
        <f t="shared" si="181"/>
        <v>1.5572411502397439</v>
      </c>
      <c r="N127" s="7">
        <f t="shared" si="181"/>
        <v>1.656804152578089</v>
      </c>
      <c r="O127" s="13">
        <f t="shared" si="181"/>
        <v>1.7564168070250297</v>
      </c>
      <c r="P127" s="13">
        <f t="shared" si="181"/>
        <v>1.8560711193270587</v>
      </c>
      <c r="Q127" s="13">
        <f t="shared" si="181"/>
        <v>1.9557607215607946</v>
      </c>
      <c r="R127" s="13">
        <f t="shared" si="181"/>
        <v>2.0554804791094465</v>
      </c>
      <c r="S127" s="13">
        <f t="shared" si="181"/>
        <v>2.155226206225231</v>
      </c>
      <c r="T127" s="13">
        <f t="shared" si="181"/>
        <v>2.2549944567559361</v>
      </c>
      <c r="U127" s="13">
        <f t="shared" si="181"/>
        <v>2.3547823678633235</v>
      </c>
      <c r="V127" s="14">
        <f t="shared" si="181"/>
        <v>2.4545875417267156</v>
      </c>
      <c r="X127" s="43">
        <v>4</v>
      </c>
      <c r="Y127" s="15">
        <v>8</v>
      </c>
      <c r="Z127" s="15">
        <f t="shared" si="203"/>
        <v>6</v>
      </c>
      <c r="AA127" s="15">
        <f t="shared" si="182"/>
        <v>6.198790204547981</v>
      </c>
      <c r="AB127" s="15">
        <f t="shared" si="183"/>
        <v>6.2245481763739283</v>
      </c>
      <c r="AC127" s="15">
        <f t="shared" si="184"/>
        <v>6.2517997408746231</v>
      </c>
      <c r="AD127" s="15">
        <f t="shared" si="185"/>
        <v>6.2805254557242263</v>
      </c>
      <c r="AE127" s="15">
        <f t="shared" si="186"/>
        <v>6.3107051903887887</v>
      </c>
      <c r="AF127" s="15">
        <f t="shared" si="187"/>
        <v>6.3423181881706316</v>
      </c>
      <c r="AG127" s="15">
        <f t="shared" si="188"/>
        <v>6.3753431280206403</v>
      </c>
      <c r="AH127" s="15">
        <f t="shared" si="189"/>
        <v>6.4097581857664494</v>
      </c>
      <c r="AI127" s="15">
        <f t="shared" si="190"/>
        <v>6.4455410944310954</v>
      </c>
      <c r="AJ127" s="16">
        <f t="shared" si="191"/>
        <v>6.4826692033451776</v>
      </c>
      <c r="AL127" s="43">
        <v>8</v>
      </c>
      <c r="AM127" s="15">
        <f t="shared" si="204"/>
        <v>6</v>
      </c>
      <c r="AN127" s="15">
        <f t="shared" si="192"/>
        <v>6.0101544498324874E-3</v>
      </c>
      <c r="AO127" s="15">
        <f t="shared" si="193"/>
        <v>1.8056064518232318E-2</v>
      </c>
      <c r="AP127" s="15">
        <f t="shared" si="194"/>
        <v>3.0317949030215986E-2</v>
      </c>
      <c r="AQ127" s="15">
        <f t="shared" si="195"/>
        <v>4.2721902513399405E-2</v>
      </c>
      <c r="AR127" s="15">
        <f t="shared" si="196"/>
        <v>5.5196762940339622E-2</v>
      </c>
      <c r="AS127" s="15">
        <f t="shared" si="197"/>
        <v>6.7674524559554902E-2</v>
      </c>
      <c r="AT127" s="15">
        <f t="shared" si="198"/>
        <v>8.0090721150964314E-2</v>
      </c>
      <c r="AU127" s="15">
        <f t="shared" si="199"/>
        <v>9.2384762948893112E-2</v>
      </c>
      <c r="AV127" s="15">
        <f t="shared" si="200"/>
        <v>0.10450021756602471</v>
      </c>
      <c r="AW127" s="16">
        <f t="shared" si="201"/>
        <v>0.11638503005105873</v>
      </c>
    </row>
    <row r="128" spans="11:51">
      <c r="K128" s="6">
        <v>5</v>
      </c>
      <c r="L128" s="7">
        <f t="shared" si="202"/>
        <v>4.9999999999999989E-2</v>
      </c>
      <c r="M128" s="7">
        <f t="shared" si="181"/>
        <v>1.5508062419270823</v>
      </c>
      <c r="N128" s="7">
        <f t="shared" si="181"/>
        <v>1.6507574019219178</v>
      </c>
      <c r="O128" s="13">
        <f t="shared" si="181"/>
        <v>1.7507141400011597</v>
      </c>
      <c r="P128" s="13">
        <f t="shared" si="181"/>
        <v>1.8506755523321747</v>
      </c>
      <c r="Q128" s="13">
        <f t="shared" si="181"/>
        <v>1.9506409203131159</v>
      </c>
      <c r="R128" s="13">
        <f t="shared" si="181"/>
        <v>2.0506096654409878</v>
      </c>
      <c r="S128" s="13">
        <f t="shared" si="181"/>
        <v>2.1505813167606571</v>
      </c>
      <c r="T128" s="13">
        <f t="shared" si="181"/>
        <v>2.2505554869853799</v>
      </c>
      <c r="U128" s="13">
        <f t="shared" si="181"/>
        <v>2.350531854708632</v>
      </c>
      <c r="V128" s="14">
        <f t="shared" si="181"/>
        <v>2.4505101509685696</v>
      </c>
      <c r="X128" s="43">
        <v>5</v>
      </c>
      <c r="Y128" s="15">
        <v>8</v>
      </c>
      <c r="Z128" s="15">
        <f t="shared" si="203"/>
        <v>6</v>
      </c>
      <c r="AA128" s="15">
        <f t="shared" si="182"/>
        <v>6.1971767765652777</v>
      </c>
      <c r="AB128" s="15">
        <f t="shared" si="183"/>
        <v>6.2229414266888297</v>
      </c>
      <c r="AC128" s="15">
        <f t="shared" si="184"/>
        <v>6.2501999968001023</v>
      </c>
      <c r="AD128" s="15">
        <f t="shared" si="185"/>
        <v>6.2789330303802409</v>
      </c>
      <c r="AE128" s="15">
        <f t="shared" si="186"/>
        <v>6.3091203824305016</v>
      </c>
      <c r="AF128" s="15">
        <f t="shared" si="187"/>
        <v>6.3407412815853004</v>
      </c>
      <c r="AG128" s="15">
        <f t="shared" si="188"/>
        <v>6.3737743919909811</v>
      </c>
      <c r="AH128" s="15">
        <f t="shared" si="189"/>
        <v>6.4081978745978185</v>
      </c>
      <c r="AI128" s="15">
        <f t="shared" si="190"/>
        <v>6.4439894475394661</v>
      </c>
      <c r="AJ128" s="16">
        <f t="shared" si="191"/>
        <v>6.4811264453025448</v>
      </c>
      <c r="AL128" s="43">
        <v>8</v>
      </c>
      <c r="AM128" s="15">
        <f t="shared" si="204"/>
        <v>6</v>
      </c>
      <c r="AN128" s="15">
        <f t="shared" si="192"/>
        <v>5.2625519758619172E-3</v>
      </c>
      <c r="AO128" s="15">
        <f t="shared" si="193"/>
        <v>1.7381709299645949E-2</v>
      </c>
      <c r="AP128" s="15">
        <f t="shared" si="194"/>
        <v>2.9708765423818173E-2</v>
      </c>
      <c r="AQ128" s="15">
        <f t="shared" si="195"/>
        <v>4.2171392390192103E-2</v>
      </c>
      <c r="AR128" s="15">
        <f t="shared" si="196"/>
        <v>5.4699587338599913E-2</v>
      </c>
      <c r="AS128" s="15">
        <f t="shared" si="197"/>
        <v>6.7226206626397542E-2</v>
      </c>
      <c r="AT128" s="15">
        <f t="shared" si="198"/>
        <v>7.9687432454893292E-2</v>
      </c>
      <c r="AU128" s="15">
        <f t="shared" si="199"/>
        <v>9.20231681640684E-2</v>
      </c>
      <c r="AV128" s="15">
        <f t="shared" si="200"/>
        <v>0.10417736068382208</v>
      </c>
      <c r="AW128" s="16">
        <f t="shared" si="201"/>
        <v>0.11609825054188115</v>
      </c>
    </row>
    <row r="129" spans="11:51">
      <c r="K129" s="6">
        <v>6</v>
      </c>
      <c r="L129" s="7">
        <f t="shared" si="202"/>
        <v>-5.0000000000000044E-2</v>
      </c>
      <c r="M129" s="7">
        <f t="shared" si="181"/>
        <v>1.5508062419270823</v>
      </c>
      <c r="N129" s="7">
        <f t="shared" si="181"/>
        <v>1.6507574019219178</v>
      </c>
      <c r="O129" s="13">
        <f t="shared" si="181"/>
        <v>1.7507141400011597</v>
      </c>
      <c r="P129" s="13">
        <f t="shared" si="181"/>
        <v>1.8506755523321747</v>
      </c>
      <c r="Q129" s="13">
        <f t="shared" si="181"/>
        <v>1.9506409203131159</v>
      </c>
      <c r="R129" s="13">
        <f t="shared" si="181"/>
        <v>2.0506096654409878</v>
      </c>
      <c r="S129" s="13">
        <f t="shared" si="181"/>
        <v>2.1505813167606571</v>
      </c>
      <c r="T129" s="13">
        <f t="shared" si="181"/>
        <v>2.2505554869853799</v>
      </c>
      <c r="U129" s="13">
        <f t="shared" si="181"/>
        <v>2.350531854708632</v>
      </c>
      <c r="V129" s="14">
        <f t="shared" si="181"/>
        <v>2.4505101509685696</v>
      </c>
      <c r="X129" s="43">
        <v>6</v>
      </c>
      <c r="Y129" s="15">
        <v>8</v>
      </c>
      <c r="Z129" s="15">
        <f t="shared" si="203"/>
        <v>6</v>
      </c>
      <c r="AA129" s="15">
        <f t="shared" si="182"/>
        <v>6.1971767765652777</v>
      </c>
      <c r="AB129" s="15">
        <f t="shared" si="183"/>
        <v>6.2229414266888297</v>
      </c>
      <c r="AC129" s="15">
        <f t="shared" si="184"/>
        <v>6.2501999968001023</v>
      </c>
      <c r="AD129" s="15">
        <f t="shared" si="185"/>
        <v>6.2789330303802409</v>
      </c>
      <c r="AE129" s="15">
        <f t="shared" si="186"/>
        <v>6.3091203824305016</v>
      </c>
      <c r="AF129" s="15">
        <f t="shared" si="187"/>
        <v>6.3407412815853004</v>
      </c>
      <c r="AG129" s="15">
        <f t="shared" si="188"/>
        <v>6.3737743919909811</v>
      </c>
      <c r="AH129" s="15">
        <f t="shared" si="189"/>
        <v>6.4081978745978185</v>
      </c>
      <c r="AI129" s="15">
        <f t="shared" si="190"/>
        <v>6.4439894475394661</v>
      </c>
      <c r="AJ129" s="16">
        <f t="shared" si="191"/>
        <v>6.4811264453025448</v>
      </c>
      <c r="AL129" s="43">
        <v>8</v>
      </c>
      <c r="AM129" s="15">
        <f t="shared" si="204"/>
        <v>6</v>
      </c>
      <c r="AN129" s="15">
        <f t="shared" si="192"/>
        <v>5.2625519758619172E-3</v>
      </c>
      <c r="AO129" s="15">
        <f t="shared" si="193"/>
        <v>1.7381709299645949E-2</v>
      </c>
      <c r="AP129" s="15">
        <f t="shared" si="194"/>
        <v>2.9708765423818173E-2</v>
      </c>
      <c r="AQ129" s="15">
        <f t="shared" si="195"/>
        <v>4.2171392390192103E-2</v>
      </c>
      <c r="AR129" s="15">
        <f t="shared" si="196"/>
        <v>5.4699587338599913E-2</v>
      </c>
      <c r="AS129" s="15">
        <f t="shared" si="197"/>
        <v>6.7226206626397542E-2</v>
      </c>
      <c r="AT129" s="15">
        <f t="shared" si="198"/>
        <v>7.9687432454893292E-2</v>
      </c>
      <c r="AU129" s="15">
        <f t="shared" si="199"/>
        <v>9.20231681640684E-2</v>
      </c>
      <c r="AV129" s="15">
        <f t="shared" si="200"/>
        <v>0.10417736068382208</v>
      </c>
      <c r="AW129" s="16">
        <f t="shared" si="201"/>
        <v>0.11609825054188115</v>
      </c>
    </row>
    <row r="130" spans="11:51">
      <c r="K130" s="6">
        <v>7</v>
      </c>
      <c r="L130" s="7">
        <f t="shared" si="202"/>
        <v>-0.15000000000000013</v>
      </c>
      <c r="M130" s="7">
        <f t="shared" si="181"/>
        <v>1.5572411502397439</v>
      </c>
      <c r="N130" s="7">
        <f t="shared" si="181"/>
        <v>1.656804152578089</v>
      </c>
      <c r="O130" s="13">
        <f t="shared" si="181"/>
        <v>1.7564168070250297</v>
      </c>
      <c r="P130" s="13">
        <f t="shared" si="181"/>
        <v>1.8560711193270587</v>
      </c>
      <c r="Q130" s="13">
        <f t="shared" si="181"/>
        <v>1.9557607215607946</v>
      </c>
      <c r="R130" s="13">
        <f t="shared" si="181"/>
        <v>2.0554804791094465</v>
      </c>
      <c r="S130" s="13">
        <f t="shared" si="181"/>
        <v>2.155226206225231</v>
      </c>
      <c r="T130" s="13">
        <f t="shared" si="181"/>
        <v>2.2549944567559361</v>
      </c>
      <c r="U130" s="13">
        <f t="shared" si="181"/>
        <v>2.3547823678633235</v>
      </c>
      <c r="V130" s="14">
        <f t="shared" si="181"/>
        <v>2.4545875417267156</v>
      </c>
      <c r="X130" s="43">
        <v>7</v>
      </c>
      <c r="Y130" s="15">
        <v>8</v>
      </c>
      <c r="Z130" s="15">
        <f t="shared" si="203"/>
        <v>6</v>
      </c>
      <c r="AA130" s="15">
        <f t="shared" si="182"/>
        <v>6.198790204547981</v>
      </c>
      <c r="AB130" s="15">
        <f t="shared" si="183"/>
        <v>6.2245481763739283</v>
      </c>
      <c r="AC130" s="15">
        <f t="shared" si="184"/>
        <v>6.2517997408746231</v>
      </c>
      <c r="AD130" s="15">
        <f t="shared" si="185"/>
        <v>6.2805254557242263</v>
      </c>
      <c r="AE130" s="15">
        <f t="shared" si="186"/>
        <v>6.3107051903887887</v>
      </c>
      <c r="AF130" s="15">
        <f t="shared" si="187"/>
        <v>6.3423181881706316</v>
      </c>
      <c r="AG130" s="15">
        <f t="shared" si="188"/>
        <v>6.3753431280206403</v>
      </c>
      <c r="AH130" s="15">
        <f t="shared" si="189"/>
        <v>6.4097581857664494</v>
      </c>
      <c r="AI130" s="15">
        <f t="shared" si="190"/>
        <v>6.4455410944310954</v>
      </c>
      <c r="AJ130" s="16">
        <f t="shared" si="191"/>
        <v>6.4826692033451776</v>
      </c>
      <c r="AL130" s="43">
        <v>8</v>
      </c>
      <c r="AM130" s="15">
        <f t="shared" si="204"/>
        <v>6</v>
      </c>
      <c r="AN130" s="15">
        <f t="shared" si="192"/>
        <v>6.0101544498324874E-3</v>
      </c>
      <c r="AO130" s="15">
        <f t="shared" si="193"/>
        <v>1.8056064518232318E-2</v>
      </c>
      <c r="AP130" s="15">
        <f t="shared" si="194"/>
        <v>3.0317949030215986E-2</v>
      </c>
      <c r="AQ130" s="15">
        <f t="shared" si="195"/>
        <v>4.2721902513399405E-2</v>
      </c>
      <c r="AR130" s="15">
        <f t="shared" si="196"/>
        <v>5.5196762940339622E-2</v>
      </c>
      <c r="AS130" s="15">
        <f t="shared" si="197"/>
        <v>6.7674524559554902E-2</v>
      </c>
      <c r="AT130" s="15">
        <f t="shared" si="198"/>
        <v>8.0090721150964314E-2</v>
      </c>
      <c r="AU130" s="15">
        <f t="shared" si="199"/>
        <v>9.2384762948893112E-2</v>
      </c>
      <c r="AV130" s="15">
        <f t="shared" si="200"/>
        <v>0.10450021756602471</v>
      </c>
      <c r="AW130" s="16">
        <f t="shared" si="201"/>
        <v>0.11638503005105873</v>
      </c>
    </row>
    <row r="131" spans="11:51">
      <c r="K131" s="6">
        <v>8</v>
      </c>
      <c r="L131" s="7">
        <f t="shared" si="202"/>
        <v>-0.25000000000000011</v>
      </c>
      <c r="M131" s="7">
        <f t="shared" si="181"/>
        <v>1.5700318468107584</v>
      </c>
      <c r="N131" s="7">
        <f t="shared" si="181"/>
        <v>1.6688319268278635</v>
      </c>
      <c r="O131" s="13">
        <f t="shared" si="181"/>
        <v>1.7677669529663689</v>
      </c>
      <c r="P131" s="13">
        <f t="shared" si="181"/>
        <v>1.8668154702594471</v>
      </c>
      <c r="Q131" s="13">
        <f t="shared" si="181"/>
        <v>1.9659603251337499</v>
      </c>
      <c r="R131" s="13">
        <f t="shared" si="181"/>
        <v>2.0651876428063383</v>
      </c>
      <c r="S131" s="13">
        <f t="shared" si="181"/>
        <v>2.1644860821913365</v>
      </c>
      <c r="T131" s="13">
        <f t="shared" si="181"/>
        <v>2.2638462845343543</v>
      </c>
      <c r="U131" s="13">
        <f t="shared" si="181"/>
        <v>2.363260459619295</v>
      </c>
      <c r="V131" s="14">
        <f t="shared" si="181"/>
        <v>2.4627220712049507</v>
      </c>
      <c r="X131" s="43">
        <v>8</v>
      </c>
      <c r="Y131" s="15">
        <v>8</v>
      </c>
      <c r="Z131" s="15">
        <f t="shared" si="203"/>
        <v>6</v>
      </c>
      <c r="AA131" s="15">
        <f t="shared" si="182"/>
        <v>6.202015801334273</v>
      </c>
      <c r="AB131" s="15">
        <f t="shared" si="183"/>
        <v>6.2277604321296751</v>
      </c>
      <c r="AC131" s="15">
        <f t="shared" si="184"/>
        <v>6.2549980015984019</v>
      </c>
      <c r="AD131" s="15">
        <f t="shared" si="185"/>
        <v>6.283709095749102</v>
      </c>
      <c r="AE131" s="15">
        <f t="shared" si="186"/>
        <v>6.3138736129257449</v>
      </c>
      <c r="AF131" s="15">
        <f t="shared" si="187"/>
        <v>6.3454708257149841</v>
      </c>
      <c r="AG131" s="15">
        <f t="shared" si="188"/>
        <v>6.3784794426258049</v>
      </c>
      <c r="AH131" s="15">
        <f t="shared" si="189"/>
        <v>6.4128776691903298</v>
      </c>
      <c r="AI131" s="15">
        <f t="shared" si="190"/>
        <v>6.448643268161141</v>
      </c>
      <c r="AJ131" s="16">
        <f t="shared" si="191"/>
        <v>6.4857536185088005</v>
      </c>
      <c r="AL131" s="43">
        <v>8</v>
      </c>
      <c r="AM131" s="15">
        <f t="shared" si="204"/>
        <v>6</v>
      </c>
      <c r="AN131" s="15">
        <f t="shared" si="192"/>
        <v>7.4812916017943879E-3</v>
      </c>
      <c r="AO131" s="15">
        <f t="shared" si="193"/>
        <v>1.938506949824258E-2</v>
      </c>
      <c r="AP131" s="15">
        <f t="shared" si="194"/>
        <v>3.1519957240227846E-2</v>
      </c>
      <c r="AQ131" s="15">
        <f t="shared" si="195"/>
        <v>4.3809181000175453E-2</v>
      </c>
      <c r="AR131" s="15">
        <f t="shared" si="196"/>
        <v>5.6179455367917498E-2</v>
      </c>
      <c r="AS131" s="15">
        <f t="shared" si="197"/>
        <v>6.8561185781334341E-2</v>
      </c>
      <c r="AT131" s="15">
        <f t="shared" si="198"/>
        <v>8.0888705039799808E-2</v>
      </c>
      <c r="AU131" s="15">
        <f t="shared" si="199"/>
        <v>9.3100506223495541E-2</v>
      </c>
      <c r="AV131" s="15">
        <f t="shared" si="200"/>
        <v>0.10513944885959654</v>
      </c>
      <c r="AW131" s="16">
        <f t="shared" si="201"/>
        <v>0.11695292459244361</v>
      </c>
    </row>
    <row r="132" spans="11:51">
      <c r="K132" s="6">
        <v>9</v>
      </c>
      <c r="L132" s="7">
        <f t="shared" si="202"/>
        <v>-0.35000000000000009</v>
      </c>
      <c r="M132" s="7">
        <f t="shared" si="181"/>
        <v>1.5890248582070705</v>
      </c>
      <c r="N132" s="7">
        <f t="shared" si="181"/>
        <v>1.6867127793432999</v>
      </c>
      <c r="O132" s="13">
        <f t="shared" si="181"/>
        <v>1.7846568297574747</v>
      </c>
      <c r="P132" s="13">
        <f t="shared" si="181"/>
        <v>1.8828170383762732</v>
      </c>
      <c r="Q132" s="13">
        <f t="shared" si="181"/>
        <v>1.9811612756158949</v>
      </c>
      <c r="R132" s="13">
        <f t="shared" si="181"/>
        <v>2.0796634343085421</v>
      </c>
      <c r="S132" s="13">
        <f t="shared" si="181"/>
        <v>2.178302091079197</v>
      </c>
      <c r="T132" s="13">
        <f t="shared" si="181"/>
        <v>2.2770595073471402</v>
      </c>
      <c r="U132" s="13">
        <f t="shared" si="181"/>
        <v>2.3759208741033446</v>
      </c>
      <c r="V132" s="14">
        <f t="shared" si="181"/>
        <v>2.4748737341529168</v>
      </c>
      <c r="X132" s="43">
        <v>9</v>
      </c>
      <c r="Y132" s="15">
        <v>8</v>
      </c>
      <c r="Z132" s="15">
        <f t="shared" si="203"/>
        <v>6</v>
      </c>
      <c r="AA132" s="15">
        <f t="shared" si="182"/>
        <v>6.2068510534730894</v>
      </c>
      <c r="AB132" s="15">
        <f t="shared" si="183"/>
        <v>6.2325757115337153</v>
      </c>
      <c r="AC132" s="15">
        <f t="shared" si="184"/>
        <v>6.2597923288236972</v>
      </c>
      <c r="AD132" s="15">
        <f t="shared" si="185"/>
        <v>6.2884815337249744</v>
      </c>
      <c r="AE132" s="15">
        <f t="shared" si="186"/>
        <v>6.3186232677696488</v>
      </c>
      <c r="AF132" s="15">
        <f t="shared" si="187"/>
        <v>6.350196847342608</v>
      </c>
      <c r="AG132" s="15">
        <f t="shared" si="188"/>
        <v>6.3831810251629246</v>
      </c>
      <c r="AH132" s="15">
        <f t="shared" si="189"/>
        <v>6.417554051194271</v>
      </c>
      <c r="AI132" s="15">
        <f t="shared" si="190"/>
        <v>6.4532937326608657</v>
      </c>
      <c r="AJ132" s="16">
        <f t="shared" si="191"/>
        <v>6.4903774928735851</v>
      </c>
      <c r="AL132" s="43">
        <v>8</v>
      </c>
      <c r="AM132" s="15">
        <f t="shared" si="204"/>
        <v>6</v>
      </c>
      <c r="AN132" s="15">
        <f t="shared" si="192"/>
        <v>9.6298775928784375E-3</v>
      </c>
      <c r="AO132" s="15">
        <f t="shared" si="193"/>
        <v>2.1330785882519711E-2</v>
      </c>
      <c r="AP132" s="15">
        <f t="shared" si="194"/>
        <v>3.3283154211401371E-2</v>
      </c>
      <c r="AQ132" s="15">
        <f t="shared" si="195"/>
        <v>4.5406555900817352E-2</v>
      </c>
      <c r="AR132" s="15">
        <f t="shared" si="196"/>
        <v>5.7624966868382289E-2</v>
      </c>
      <c r="AS132" s="15">
        <f t="shared" si="197"/>
        <v>6.9866722109836993E-2</v>
      </c>
      <c r="AT132" s="15">
        <f t="shared" si="198"/>
        <v>8.2064576038207257E-2</v>
      </c>
      <c r="AU132" s="15">
        <f t="shared" si="199"/>
        <v>9.4155807740189806E-2</v>
      </c>
      <c r="AV132" s="15">
        <f t="shared" si="200"/>
        <v>0.10608233366394264</v>
      </c>
      <c r="AW132" s="16">
        <f t="shared" si="201"/>
        <v>0.11779080422174663</v>
      </c>
    </row>
    <row r="133" spans="11:51">
      <c r="K133" s="8">
        <v>10</v>
      </c>
      <c r="L133" s="9">
        <f t="shared" si="202"/>
        <v>-0.45000000000000007</v>
      </c>
      <c r="M133" s="9">
        <f t="shared" si="181"/>
        <v>1.6140012391568974</v>
      </c>
      <c r="N133" s="9">
        <f t="shared" si="181"/>
        <v>1.710263137648707</v>
      </c>
      <c r="O133" s="17">
        <f t="shared" si="181"/>
        <v>1.8069310999592652</v>
      </c>
      <c r="P133" s="17">
        <f t="shared" si="181"/>
        <v>1.9039432764659772</v>
      </c>
      <c r="Q133" s="17">
        <f t="shared" si="181"/>
        <v>2.00124960961895</v>
      </c>
      <c r="R133" s="17">
        <f t="shared" si="181"/>
        <v>2.0988091861815357</v>
      </c>
      <c r="S133" s="17">
        <f t="shared" si="181"/>
        <v>2.1965882636488798</v>
      </c>
      <c r="T133" s="17">
        <f t="shared" si="181"/>
        <v>2.2945587811167529</v>
      </c>
      <c r="U133" s="17">
        <f t="shared" si="181"/>
        <v>2.3926972228010799</v>
      </c>
      <c r="V133" s="18">
        <f t="shared" si="181"/>
        <v>2.4909837414162301</v>
      </c>
      <c r="X133" s="44">
        <v>10</v>
      </c>
      <c r="Y133" s="23">
        <v>8</v>
      </c>
      <c r="Z133" s="23">
        <f t="shared" si="203"/>
        <v>6</v>
      </c>
      <c r="AA133" s="23">
        <f t="shared" si="182"/>
        <v>6.2132922030112185</v>
      </c>
      <c r="AB133" s="23">
        <f t="shared" si="183"/>
        <v>6.2389903029256262</v>
      </c>
      <c r="AC133" s="23">
        <f t="shared" si="184"/>
        <v>6.2661790590438766</v>
      </c>
      <c r="AD133" s="23">
        <f t="shared" si="185"/>
        <v>6.294839156007086</v>
      </c>
      <c r="AE133" s="23">
        <f t="shared" si="186"/>
        <v>6.3249505926924048</v>
      </c>
      <c r="AF133" s="23">
        <f t="shared" si="187"/>
        <v>6.3564927436440923</v>
      </c>
      <c r="AG133" s="23">
        <f t="shared" si="188"/>
        <v>6.3894444202919551</v>
      </c>
      <c r="AH133" s="23">
        <f t="shared" si="189"/>
        <v>6.4237839316091572</v>
      </c>
      <c r="AI133" s="23">
        <f t="shared" si="190"/>
        <v>6.4594891438874642</v>
      </c>
      <c r="AJ133" s="24">
        <f t="shared" si="191"/>
        <v>6.4965375393358578</v>
      </c>
      <c r="AL133" s="44">
        <v>8</v>
      </c>
      <c r="AM133" s="23">
        <f t="shared" si="204"/>
        <v>6</v>
      </c>
      <c r="AN133" s="23">
        <f t="shared" si="192"/>
        <v>1.2391549805877148E-2</v>
      </c>
      <c r="AO133" s="23">
        <f t="shared" si="193"/>
        <v>2.3839760932355222E-2</v>
      </c>
      <c r="AP133" s="23">
        <f t="shared" si="194"/>
        <v>3.5562644124455173E-2</v>
      </c>
      <c r="AQ133" s="23">
        <f t="shared" si="195"/>
        <v>4.7475949745280556E-2</v>
      </c>
      <c r="AR133" s="23">
        <f t="shared" si="196"/>
        <v>5.9500732997971741E-2</v>
      </c>
      <c r="AS133" s="23">
        <f t="shared" si="197"/>
        <v>7.1563087033625031E-2</v>
      </c>
      <c r="AT133" s="23">
        <f t="shared" si="198"/>
        <v>8.3594035854983317E-2</v>
      </c>
      <c r="AU133" s="23">
        <f t="shared" si="199"/>
        <v>9.5529513713598913E-2</v>
      </c>
      <c r="AV133" s="23">
        <f t="shared" si="200"/>
        <v>0.10731038284302777</v>
      </c>
      <c r="AW133" s="24">
        <f t="shared" si="201"/>
        <v>0.11888245816220949</v>
      </c>
    </row>
    <row r="134" spans="11:51">
      <c r="K134" s="1"/>
      <c r="L134" s="1"/>
      <c r="M134" s="1"/>
      <c r="N134" s="1"/>
      <c r="O134" s="10"/>
      <c r="P134" s="10"/>
    </row>
    <row r="135" spans="11:51" ht="30">
      <c r="K135" s="4" t="s">
        <v>18</v>
      </c>
      <c r="L135" s="5" t="s">
        <v>17</v>
      </c>
      <c r="M135" s="5">
        <v>1</v>
      </c>
      <c r="N135" s="5">
        <v>2</v>
      </c>
      <c r="O135" s="11">
        <v>3</v>
      </c>
      <c r="P135" s="11">
        <v>4</v>
      </c>
      <c r="Q135" s="11">
        <v>5</v>
      </c>
      <c r="R135" s="11">
        <v>6</v>
      </c>
      <c r="S135" s="11">
        <v>7</v>
      </c>
      <c r="T135" s="11">
        <v>8</v>
      </c>
      <c r="U135" s="11">
        <v>9</v>
      </c>
      <c r="V135" s="12">
        <v>10</v>
      </c>
    </row>
    <row r="136" spans="11:51">
      <c r="K136" s="6"/>
      <c r="L136" s="7" t="s">
        <v>125</v>
      </c>
      <c r="M136" s="7">
        <f t="shared" ref="M136:V136" si="205">$E$7+($B$17/2+$B$17*(M135-1))</f>
        <v>1.55</v>
      </c>
      <c r="N136" s="7">
        <f t="shared" si="205"/>
        <v>1.65</v>
      </c>
      <c r="O136" s="7">
        <f t="shared" si="205"/>
        <v>1.75</v>
      </c>
      <c r="P136" s="7">
        <f t="shared" si="205"/>
        <v>1.85</v>
      </c>
      <c r="Q136" s="7">
        <f t="shared" si="205"/>
        <v>1.95</v>
      </c>
      <c r="R136" s="7">
        <f t="shared" si="205"/>
        <v>2.0499999999999998</v>
      </c>
      <c r="S136" s="7">
        <f t="shared" si="205"/>
        <v>2.1500000000000004</v>
      </c>
      <c r="T136" s="7">
        <f t="shared" si="205"/>
        <v>2.25</v>
      </c>
      <c r="U136" s="7">
        <f t="shared" si="205"/>
        <v>2.35</v>
      </c>
      <c r="V136" s="7">
        <f t="shared" si="205"/>
        <v>2.4500000000000002</v>
      </c>
    </row>
    <row r="137" spans="11:51">
      <c r="K137" s="6" t="s">
        <v>19</v>
      </c>
      <c r="L137" s="7" t="s">
        <v>126</v>
      </c>
      <c r="M137" s="7"/>
      <c r="N137" s="7"/>
      <c r="O137" s="13"/>
      <c r="P137" s="13"/>
      <c r="Q137" s="15"/>
      <c r="R137" s="15"/>
      <c r="S137" s="15"/>
      <c r="T137" s="15"/>
      <c r="U137" s="15"/>
      <c r="V137" s="16"/>
      <c r="AA137" s="2" t="s">
        <v>105</v>
      </c>
      <c r="AB137" s="2" t="s">
        <v>106</v>
      </c>
      <c r="AC137" s="2" t="s">
        <v>107</v>
      </c>
      <c r="AD137" s="2" t="s">
        <v>108</v>
      </c>
      <c r="AE137" s="2" t="s">
        <v>109</v>
      </c>
      <c r="AF137" s="2" t="s">
        <v>110</v>
      </c>
      <c r="AG137" s="2" t="s">
        <v>111</v>
      </c>
      <c r="AH137" s="2" t="s">
        <v>112</v>
      </c>
      <c r="AI137" s="2" t="s">
        <v>113</v>
      </c>
      <c r="AJ137" s="2" t="s">
        <v>114</v>
      </c>
      <c r="AX137" s="2" t="s">
        <v>129</v>
      </c>
      <c r="AY137" s="2">
        <f>SUM(AN138:AW147)</f>
        <v>2.7988999907617185</v>
      </c>
    </row>
    <row r="138" spans="11:51">
      <c r="K138" s="6">
        <v>1</v>
      </c>
      <c r="L138" s="7">
        <f>$B$9/2-($B$18/2+$B$18*(K138-1))</f>
        <v>0.45</v>
      </c>
      <c r="M138" s="7">
        <f t="shared" ref="M138:V147" si="206">SQRT(M$24^2+$L138^2)</f>
        <v>1.6140012391568974</v>
      </c>
      <c r="N138" s="7">
        <f t="shared" si="206"/>
        <v>1.710263137648707</v>
      </c>
      <c r="O138" s="13">
        <f t="shared" si="206"/>
        <v>1.8069310999592652</v>
      </c>
      <c r="P138" s="13">
        <f t="shared" si="206"/>
        <v>1.9039432764659772</v>
      </c>
      <c r="Q138" s="13">
        <f t="shared" si="206"/>
        <v>2.00124960961895</v>
      </c>
      <c r="R138" s="13">
        <f t="shared" si="206"/>
        <v>2.0988091861815357</v>
      </c>
      <c r="S138" s="13">
        <f t="shared" si="206"/>
        <v>2.1965882636488798</v>
      </c>
      <c r="T138" s="13">
        <f t="shared" si="206"/>
        <v>2.2945587811167529</v>
      </c>
      <c r="U138" s="13">
        <f t="shared" si="206"/>
        <v>2.3926972228010799</v>
      </c>
      <c r="V138" s="14">
        <f t="shared" si="206"/>
        <v>2.4909837414162301</v>
      </c>
      <c r="X138" s="55">
        <v>1</v>
      </c>
      <c r="Y138" s="25">
        <v>9</v>
      </c>
      <c r="Z138" s="25">
        <f>Y138*$B$19</f>
        <v>6.75</v>
      </c>
      <c r="AA138" s="25">
        <f t="shared" ref="AA138:AA147" si="207">SQRT($Z138^2+M138^2)</f>
        <v>6.9402809741393039</v>
      </c>
      <c r="AB138" s="25">
        <f t="shared" ref="AB138:AB147" si="208">SQRT($Z138^2+N138^2)</f>
        <v>6.9632966330610957</v>
      </c>
      <c r="AC138" s="25">
        <f t="shared" ref="AC138:AC147" si="209">SQRT($Z138^2+O138^2)</f>
        <v>6.9876677081841834</v>
      </c>
      <c r="AD138" s="25">
        <f t="shared" ref="AD138:AD147" si="210">SQRT($Z138^2+P138^2)</f>
        <v>7.0133800695527686</v>
      </c>
      <c r="AE138" s="25">
        <f t="shared" ref="AE138:AE147" si="211">SQRT($Z138^2+Q138^2)</f>
        <v>7.0404190216208011</v>
      </c>
      <c r="AF138" s="25">
        <f t="shared" ref="AF138:AF147" si="212">SQRT($Z138^2+R138^2)</f>
        <v>7.0687693412644323</v>
      </c>
      <c r="AG138" s="25">
        <f t="shared" ref="AG138:AG147" si="213">SQRT($Z138^2+S138^2)</f>
        <v>7.0984153161110548</v>
      </c>
      <c r="AH138" s="25">
        <f t="shared" ref="AH138:AH147" si="214">SQRT($Z138^2+T138^2)</f>
        <v>7.1293407829896864</v>
      </c>
      <c r="AI138" s="25">
        <f t="shared" ref="AI138:AI147" si="215">SQRT($Z138^2+U138^2)</f>
        <v>7.1615291663163676</v>
      </c>
      <c r="AJ138" s="20">
        <f t="shared" ref="AJ138:AJ147" si="216">SQRT($Z138^2+V26^2)</f>
        <v>7.1949635162382855</v>
      </c>
      <c r="AL138" s="55">
        <v>9</v>
      </c>
      <c r="AM138" s="25">
        <f>AL138*$B$19</f>
        <v>6.75</v>
      </c>
      <c r="AN138" s="25">
        <f t="shared" ref="AN138:AN147" si="217">$B$20/(2*PI())*(3*M138^2*$AM138/AA138^5-(1-2*$B$11)/(AA138*(AA138+$AM138)))*(M$136/M138)</f>
        <v>-6.4241088309446148E-3</v>
      </c>
      <c r="AO138" s="25">
        <f t="shared" ref="AO138:AO147" si="218">$B$20/(2*PI())*(3*N138^2*$AM138/AB138^5-(1-2*$B$11)/(AB138*(AB138+$AM138)))*(N$136/N138)</f>
        <v>1.2266674902762687E-3</v>
      </c>
      <c r="AP138" s="25">
        <f t="shared" ref="AP138:AP147" si="219">$B$20/(2*PI())*(3*O138^2*$AM138/AC138^5-(1-2*$B$11)/(AC138*(AC138+$AM138)))*(O$136/O138)</f>
        <v>9.14462127886294E-3</v>
      </c>
      <c r="AQ138" s="25">
        <f t="shared" ref="AQ138:AQ147" si="220">$B$20/(2*PI())*(3*P138^2*$AM138/AD138^5-(1-2*$B$11)/(AD138*(AD138+$AM138)))*(P$136/P138)</f>
        <v>1.7278185603664384E-2</v>
      </c>
      <c r="AR138" s="25">
        <f t="shared" ref="AR138:AR147" si="221">$B$20/(2*PI())*(3*Q138^2*$AM138/AE138^5-(1-2*$B$11)/(AE138*(AE138+$AM138)))*(Q$136/Q138)</f>
        <v>2.5578747377691401E-2</v>
      </c>
      <c r="AS138" s="25">
        <f t="shared" ref="AS138:AS147" si="222">$B$20/(2*PI())*(3*R138^2*$AM138/AF138^5-(1-2*$B$11)/(AF138*(AF138+$AM138)))*(R$136/R138)</f>
        <v>3.400030028040666E-2</v>
      </c>
      <c r="AT138" s="25">
        <f t="shared" ref="AT138:AT147" si="223">$B$20/(2*PI())*(3*S138^2*$AM138/AG138^5-(1-2*$B$11)/(AG138*(AG138+$AM138)))*(S$136/S138)</f>
        <v>4.2499256955139383E-2</v>
      </c>
      <c r="AU138" s="25">
        <f t="shared" ref="AU138:AU147" si="224">$B$20/(2*PI())*(3*T138^2*$AM138/AH138^5-(1-2*$B$11)/(AH138*(AH138+$AM138)))*(T$136/T138)</f>
        <v>5.1034361802662374E-2</v>
      </c>
      <c r="AV138" s="25">
        <f t="shared" ref="AV138:AV147" si="225">$B$20/(2*PI())*(3*U138^2*$AM138/AI138^5-(1-2*$B$11)/(AI138*(AI138+$AM138)))*(U$136/U138)</f>
        <v>5.9566664974870072E-2</v>
      </c>
      <c r="AW138" s="20">
        <f t="shared" ref="AW138:AW147" si="226">$B$20/(2*PI())*(3*V138^2*$AM138/AJ138^5-(1-2*$B$11)/(AJ138*(AJ138+$AM138)))*(V$136/V138)</f>
        <v>6.8059530905656793E-2</v>
      </c>
    </row>
    <row r="139" spans="11:51">
      <c r="K139" s="6">
        <v>2</v>
      </c>
      <c r="L139" s="7">
        <f t="shared" ref="L139:L147" si="227">$B$9/2-($B$18/2+$B$18*(K139-1))</f>
        <v>0.35</v>
      </c>
      <c r="M139" s="7">
        <f t="shared" si="206"/>
        <v>1.5890248582070705</v>
      </c>
      <c r="N139" s="7">
        <f t="shared" si="206"/>
        <v>1.6867127793432999</v>
      </c>
      <c r="O139" s="13">
        <f t="shared" si="206"/>
        <v>1.7846568297574747</v>
      </c>
      <c r="P139" s="13">
        <f t="shared" si="206"/>
        <v>1.8828170383762732</v>
      </c>
      <c r="Q139" s="13">
        <f t="shared" si="206"/>
        <v>1.9811612756158949</v>
      </c>
      <c r="R139" s="13">
        <f t="shared" si="206"/>
        <v>2.0796634343085421</v>
      </c>
      <c r="S139" s="13">
        <f t="shared" si="206"/>
        <v>2.1783020910791966</v>
      </c>
      <c r="T139" s="13">
        <f t="shared" si="206"/>
        <v>2.2770595073471398</v>
      </c>
      <c r="U139" s="13">
        <f t="shared" si="206"/>
        <v>2.3759208741033446</v>
      </c>
      <c r="V139" s="14">
        <f t="shared" si="206"/>
        <v>2.4748737341529163</v>
      </c>
      <c r="X139" s="43">
        <v>2</v>
      </c>
      <c r="Y139" s="15">
        <v>9</v>
      </c>
      <c r="Z139" s="15">
        <f t="shared" ref="Z139:Z147" si="228">Y139*$B$19</f>
        <v>6.75</v>
      </c>
      <c r="AA139" s="15">
        <f t="shared" si="207"/>
        <v>6.9345151236405851</v>
      </c>
      <c r="AB139" s="15">
        <f t="shared" si="208"/>
        <v>6.9575498560915827</v>
      </c>
      <c r="AC139" s="15">
        <f t="shared" si="209"/>
        <v>6.9819409908706618</v>
      </c>
      <c r="AD139" s="15">
        <f t="shared" si="210"/>
        <v>7.0076743645805921</v>
      </c>
      <c r="AE139" s="15">
        <f t="shared" si="211"/>
        <v>7.0347352473280758</v>
      </c>
      <c r="AF139" s="15">
        <f t="shared" si="212"/>
        <v>7.0631083808759438</v>
      </c>
      <c r="AG139" s="15">
        <f t="shared" si="213"/>
        <v>7.0927780171100796</v>
      </c>
      <c r="AH139" s="15">
        <f t="shared" si="214"/>
        <v>7.1237279566249585</v>
      </c>
      <c r="AI139" s="15">
        <f t="shared" si="215"/>
        <v>7.1559415872406342</v>
      </c>
      <c r="AJ139" s="16">
        <f t="shared" si="216"/>
        <v>7.1894019222742029</v>
      </c>
      <c r="AL139" s="43">
        <v>9</v>
      </c>
      <c r="AM139" s="15">
        <f t="shared" ref="AM139:AM147" si="229">AL139*$B$19</f>
        <v>6.75</v>
      </c>
      <c r="AN139" s="15">
        <f t="shared" si="217"/>
        <v>-8.5075317732208593E-3</v>
      </c>
      <c r="AO139" s="15">
        <f t="shared" si="218"/>
        <v>-6.7864298283102145E-4</v>
      </c>
      <c r="AP139" s="15">
        <f t="shared" si="219"/>
        <v>7.3991898794282486E-3</v>
      </c>
      <c r="AQ139" s="15">
        <f t="shared" si="220"/>
        <v>1.5677644567329369E-2</v>
      </c>
      <c r="AR139" s="15">
        <f t="shared" si="221"/>
        <v>2.411061420289283E-2</v>
      </c>
      <c r="AS139" s="15">
        <f t="shared" si="222"/>
        <v>3.2654037720945057E-2</v>
      </c>
      <c r="AT139" s="15">
        <f t="shared" si="223"/>
        <v>4.1265845123548806E-2</v>
      </c>
      <c r="AU139" s="15">
        <f t="shared" si="224"/>
        <v>4.9905970418607344E-2</v>
      </c>
      <c r="AV139" s="15">
        <f t="shared" si="225"/>
        <v>5.8536401398904321E-2</v>
      </c>
      <c r="AW139" s="16">
        <f t="shared" si="226"/>
        <v>6.7121245865074328E-2</v>
      </c>
    </row>
    <row r="140" spans="11:51">
      <c r="K140" s="6">
        <v>3</v>
      </c>
      <c r="L140" s="7">
        <f t="shared" si="227"/>
        <v>0.25</v>
      </c>
      <c r="M140" s="7">
        <f t="shared" si="206"/>
        <v>1.5700318468107584</v>
      </c>
      <c r="N140" s="7">
        <f t="shared" si="206"/>
        <v>1.6688319268278635</v>
      </c>
      <c r="O140" s="13">
        <f t="shared" si="206"/>
        <v>1.7677669529663689</v>
      </c>
      <c r="P140" s="13">
        <f t="shared" si="206"/>
        <v>1.8668154702594471</v>
      </c>
      <c r="Q140" s="13">
        <f t="shared" si="206"/>
        <v>1.9659603251337499</v>
      </c>
      <c r="R140" s="13">
        <f t="shared" si="206"/>
        <v>2.0651876428063383</v>
      </c>
      <c r="S140" s="13">
        <f t="shared" si="206"/>
        <v>2.1644860821913365</v>
      </c>
      <c r="T140" s="13">
        <f t="shared" si="206"/>
        <v>2.2638462845343543</v>
      </c>
      <c r="U140" s="13">
        <f t="shared" si="206"/>
        <v>2.363260459619295</v>
      </c>
      <c r="V140" s="14">
        <f t="shared" si="206"/>
        <v>2.4627220712049507</v>
      </c>
      <c r="X140" s="43">
        <v>3</v>
      </c>
      <c r="Y140" s="15">
        <v>9</v>
      </c>
      <c r="Z140" s="15">
        <f t="shared" si="228"/>
        <v>6.75</v>
      </c>
      <c r="AA140" s="15">
        <f t="shared" si="207"/>
        <v>6.9301875876486925</v>
      </c>
      <c r="AB140" s="15">
        <f t="shared" si="208"/>
        <v>6.9532366564068564</v>
      </c>
      <c r="AC140" s="15">
        <f t="shared" si="209"/>
        <v>6.9776428684764316</v>
      </c>
      <c r="AD140" s="15">
        <f t="shared" si="210"/>
        <v>7.0033920352926122</v>
      </c>
      <c r="AE140" s="15">
        <f t="shared" si="211"/>
        <v>7.030469401113983</v>
      </c>
      <c r="AF140" s="15">
        <f t="shared" si="212"/>
        <v>7.0588596812799729</v>
      </c>
      <c r="AG140" s="15">
        <f t="shared" si="213"/>
        <v>7.0885471007816543</v>
      </c>
      <c r="AH140" s="15">
        <f t="shared" si="214"/>
        <v>7.1195154329490711</v>
      </c>
      <c r="AI140" s="15">
        <f t="shared" si="215"/>
        <v>7.1517480380673364</v>
      </c>
      <c r="AJ140" s="16">
        <f t="shared" si="216"/>
        <v>7.1852279017439669</v>
      </c>
      <c r="AL140" s="43">
        <v>9</v>
      </c>
      <c r="AM140" s="15">
        <f t="shared" si="229"/>
        <v>6.75</v>
      </c>
      <c r="AN140" s="15">
        <f t="shared" si="217"/>
        <v>-1.0126380660013007E-2</v>
      </c>
      <c r="AO140" s="15">
        <f t="shared" si="218"/>
        <v>-2.1539329414135442E-3</v>
      </c>
      <c r="AP140" s="15">
        <f t="shared" si="219"/>
        <v>6.0515213802553773E-3</v>
      </c>
      <c r="AQ140" s="15">
        <f t="shared" si="220"/>
        <v>1.4444704800704821E-2</v>
      </c>
      <c r="AR140" s="15">
        <f t="shared" si="221"/>
        <v>2.2981815942126758E-2</v>
      </c>
      <c r="AS140" s="15">
        <f t="shared" si="222"/>
        <v>3.1620554489839268E-2</v>
      </c>
      <c r="AT140" s="15">
        <f t="shared" si="223"/>
        <v>4.0320205774398626E-2</v>
      </c>
      <c r="AU140" s="15">
        <f t="shared" si="224"/>
        <v>4.9041754781167186E-2</v>
      </c>
      <c r="AV140" s="15">
        <f t="shared" si="225"/>
        <v>5.7748010120881522E-2</v>
      </c>
      <c r="AW140" s="16">
        <f t="shared" si="226"/>
        <v>6.6403725312101383E-2</v>
      </c>
    </row>
    <row r="141" spans="11:51">
      <c r="K141" s="6">
        <v>4</v>
      </c>
      <c r="L141" s="7">
        <f t="shared" si="227"/>
        <v>0.14999999999999997</v>
      </c>
      <c r="M141" s="7">
        <f t="shared" si="206"/>
        <v>1.5572411502397439</v>
      </c>
      <c r="N141" s="7">
        <f t="shared" si="206"/>
        <v>1.656804152578089</v>
      </c>
      <c r="O141" s="13">
        <f t="shared" si="206"/>
        <v>1.7564168070250297</v>
      </c>
      <c r="P141" s="13">
        <f t="shared" si="206"/>
        <v>1.8560711193270587</v>
      </c>
      <c r="Q141" s="13">
        <f t="shared" si="206"/>
        <v>1.9557607215607946</v>
      </c>
      <c r="R141" s="13">
        <f t="shared" si="206"/>
        <v>2.0554804791094465</v>
      </c>
      <c r="S141" s="13">
        <f t="shared" si="206"/>
        <v>2.155226206225231</v>
      </c>
      <c r="T141" s="13">
        <f t="shared" si="206"/>
        <v>2.2549944567559361</v>
      </c>
      <c r="U141" s="13">
        <f t="shared" si="206"/>
        <v>2.3547823678633235</v>
      </c>
      <c r="V141" s="14">
        <f t="shared" si="206"/>
        <v>2.4545875417267156</v>
      </c>
      <c r="X141" s="43">
        <v>4</v>
      </c>
      <c r="Y141" s="15">
        <v>9</v>
      </c>
      <c r="Z141" s="15">
        <f t="shared" si="228"/>
        <v>6.75</v>
      </c>
      <c r="AA141" s="15">
        <f t="shared" si="207"/>
        <v>6.9273010617411455</v>
      </c>
      <c r="AB141" s="15">
        <f t="shared" si="208"/>
        <v>6.9503597029218565</v>
      </c>
      <c r="AC141" s="15">
        <f t="shared" si="209"/>
        <v>6.974775982065661</v>
      </c>
      <c r="AD141" s="15">
        <f t="shared" si="210"/>
        <v>7.0005356937880121</v>
      </c>
      <c r="AE141" s="15">
        <f t="shared" si="211"/>
        <v>7.0276240650734874</v>
      </c>
      <c r="AF141" s="15">
        <f t="shared" si="212"/>
        <v>7.0560257936036486</v>
      </c>
      <c r="AG141" s="15">
        <f t="shared" si="213"/>
        <v>7.0857250863972983</v>
      </c>
      <c r="AH141" s="15">
        <f t="shared" si="214"/>
        <v>7.116705698565875</v>
      </c>
      <c r="AI141" s="15">
        <f t="shared" si="215"/>
        <v>7.1489509719958217</v>
      </c>
      <c r="AJ141" s="16">
        <f t="shared" si="216"/>
        <v>7.1824438737800103</v>
      </c>
      <c r="AL141" s="43">
        <v>9</v>
      </c>
      <c r="AM141" s="15">
        <f t="shared" si="229"/>
        <v>6.75</v>
      </c>
      <c r="AN141" s="15">
        <f t="shared" si="217"/>
        <v>-1.1233846008875701E-2</v>
      </c>
      <c r="AO141" s="15">
        <f t="shared" si="218"/>
        <v>-3.1605397615413642E-3</v>
      </c>
      <c r="AP141" s="15">
        <f t="shared" si="219"/>
        <v>5.1339416216825886E-3</v>
      </c>
      <c r="AQ141" s="15">
        <f t="shared" si="220"/>
        <v>1.3606687163607929E-2</v>
      </c>
      <c r="AR141" s="15">
        <f t="shared" si="221"/>
        <v>2.2215663493016572E-2</v>
      </c>
      <c r="AS141" s="15">
        <f t="shared" si="222"/>
        <v>3.091990573798355E-2</v>
      </c>
      <c r="AT141" s="15">
        <f t="shared" si="223"/>
        <v>3.9679717860772824E-2</v>
      </c>
      <c r="AU141" s="15">
        <f t="shared" si="224"/>
        <v>4.8456868780390266E-2</v>
      </c>
      <c r="AV141" s="15">
        <f t="shared" si="225"/>
        <v>5.7214775490910495E-2</v>
      </c>
      <c r="AW141" s="16">
        <f t="shared" si="226"/>
        <v>6.5918667539658152E-2</v>
      </c>
    </row>
    <row r="142" spans="11:51">
      <c r="K142" s="6">
        <v>5</v>
      </c>
      <c r="L142" s="7">
        <f t="shared" si="227"/>
        <v>4.9999999999999989E-2</v>
      </c>
      <c r="M142" s="7">
        <f t="shared" si="206"/>
        <v>1.5508062419270823</v>
      </c>
      <c r="N142" s="7">
        <f t="shared" si="206"/>
        <v>1.6507574019219178</v>
      </c>
      <c r="O142" s="13">
        <f t="shared" si="206"/>
        <v>1.7507141400011597</v>
      </c>
      <c r="P142" s="13">
        <f t="shared" si="206"/>
        <v>1.8506755523321747</v>
      </c>
      <c r="Q142" s="13">
        <f t="shared" si="206"/>
        <v>1.9506409203131159</v>
      </c>
      <c r="R142" s="13">
        <f t="shared" si="206"/>
        <v>2.0506096654409878</v>
      </c>
      <c r="S142" s="13">
        <f t="shared" si="206"/>
        <v>2.1505813167606571</v>
      </c>
      <c r="T142" s="13">
        <f t="shared" si="206"/>
        <v>2.2505554869853799</v>
      </c>
      <c r="U142" s="13">
        <f t="shared" si="206"/>
        <v>2.350531854708632</v>
      </c>
      <c r="V142" s="14">
        <f t="shared" si="206"/>
        <v>2.4505101509685696</v>
      </c>
      <c r="X142" s="43">
        <v>5</v>
      </c>
      <c r="Y142" s="15">
        <v>9</v>
      </c>
      <c r="Z142" s="15">
        <f t="shared" si="228"/>
        <v>6.75</v>
      </c>
      <c r="AA142" s="15">
        <f t="shared" si="207"/>
        <v>6.9258573476501812</v>
      </c>
      <c r="AB142" s="15">
        <f t="shared" si="208"/>
        <v>6.9489207795167731</v>
      </c>
      <c r="AC142" s="15">
        <f t="shared" si="209"/>
        <v>6.9733420968714848</v>
      </c>
      <c r="AD142" s="15">
        <f t="shared" si="210"/>
        <v>6.9991070859074584</v>
      </c>
      <c r="AE142" s="15">
        <f t="shared" si="211"/>
        <v>7.0262009649596555</v>
      </c>
      <c r="AF142" s="15">
        <f t="shared" si="212"/>
        <v>7.0546084228679904</v>
      </c>
      <c r="AG142" s="15">
        <f t="shared" si="213"/>
        <v>7.0843136576523769</v>
      </c>
      <c r="AH142" s="15">
        <f t="shared" si="214"/>
        <v>7.1153004153022241</v>
      </c>
      <c r="AI142" s="15">
        <f t="shared" si="215"/>
        <v>7.1475520284919929</v>
      </c>
      <c r="AJ142" s="16">
        <f t="shared" si="216"/>
        <v>7.1810514550447282</v>
      </c>
      <c r="AL142" s="43">
        <v>9</v>
      </c>
      <c r="AM142" s="15">
        <f t="shared" si="229"/>
        <v>6.75</v>
      </c>
      <c r="AN142" s="15">
        <f t="shared" si="217"/>
        <v>-1.1796354326918184E-2</v>
      </c>
      <c r="AO142" s="15">
        <f t="shared" si="218"/>
        <v>-3.6709852803611868E-3</v>
      </c>
      <c r="AP142" s="15">
        <f t="shared" si="219"/>
        <v>4.6692525014492958E-3</v>
      </c>
      <c r="AQ142" s="15">
        <f t="shared" si="220"/>
        <v>1.3182742679404325E-2</v>
      </c>
      <c r="AR142" s="15">
        <f t="shared" si="221"/>
        <v>2.1828411510890485E-2</v>
      </c>
      <c r="AS142" s="15">
        <f t="shared" si="222"/>
        <v>3.0566014290375886E-2</v>
      </c>
      <c r="AT142" s="15">
        <f t="shared" si="223"/>
        <v>3.9356401363368092E-2</v>
      </c>
      <c r="AU142" s="15">
        <f t="shared" si="224"/>
        <v>4.8161760269417909E-2</v>
      </c>
      <c r="AV142" s="15">
        <f t="shared" si="225"/>
        <v>5.694583166317211E-2</v>
      </c>
      <c r="AW142" s="16">
        <f t="shared" si="226"/>
        <v>6.5674097533442458E-2</v>
      </c>
    </row>
    <row r="143" spans="11:51">
      <c r="K143" s="6">
        <v>6</v>
      </c>
      <c r="L143" s="7">
        <f t="shared" si="227"/>
        <v>-5.0000000000000044E-2</v>
      </c>
      <c r="M143" s="7">
        <f t="shared" si="206"/>
        <v>1.5508062419270823</v>
      </c>
      <c r="N143" s="7">
        <f t="shared" si="206"/>
        <v>1.6507574019219178</v>
      </c>
      <c r="O143" s="13">
        <f t="shared" si="206"/>
        <v>1.7507141400011597</v>
      </c>
      <c r="P143" s="13">
        <f t="shared" si="206"/>
        <v>1.8506755523321747</v>
      </c>
      <c r="Q143" s="13">
        <f t="shared" si="206"/>
        <v>1.9506409203131159</v>
      </c>
      <c r="R143" s="13">
        <f t="shared" si="206"/>
        <v>2.0506096654409878</v>
      </c>
      <c r="S143" s="13">
        <f t="shared" si="206"/>
        <v>2.1505813167606571</v>
      </c>
      <c r="T143" s="13">
        <f t="shared" si="206"/>
        <v>2.2505554869853799</v>
      </c>
      <c r="U143" s="13">
        <f t="shared" si="206"/>
        <v>2.350531854708632</v>
      </c>
      <c r="V143" s="14">
        <f t="shared" si="206"/>
        <v>2.4505101509685696</v>
      </c>
      <c r="X143" s="43">
        <v>6</v>
      </c>
      <c r="Y143" s="15">
        <v>9</v>
      </c>
      <c r="Z143" s="15">
        <f t="shared" si="228"/>
        <v>6.75</v>
      </c>
      <c r="AA143" s="15">
        <f t="shared" si="207"/>
        <v>6.9258573476501812</v>
      </c>
      <c r="AB143" s="15">
        <f t="shared" si="208"/>
        <v>6.9489207795167731</v>
      </c>
      <c r="AC143" s="15">
        <f t="shared" si="209"/>
        <v>6.9733420968714848</v>
      </c>
      <c r="AD143" s="15">
        <f t="shared" si="210"/>
        <v>6.9991070859074584</v>
      </c>
      <c r="AE143" s="15">
        <f t="shared" si="211"/>
        <v>7.0262009649596555</v>
      </c>
      <c r="AF143" s="15">
        <f t="shared" si="212"/>
        <v>7.0546084228679904</v>
      </c>
      <c r="AG143" s="15">
        <f t="shared" si="213"/>
        <v>7.0843136576523769</v>
      </c>
      <c r="AH143" s="15">
        <f t="shared" si="214"/>
        <v>7.1153004153022241</v>
      </c>
      <c r="AI143" s="15">
        <f t="shared" si="215"/>
        <v>7.1475520284919929</v>
      </c>
      <c r="AJ143" s="16">
        <f t="shared" si="216"/>
        <v>7.1810514550447282</v>
      </c>
      <c r="AL143" s="43">
        <v>9</v>
      </c>
      <c r="AM143" s="15">
        <f t="shared" si="229"/>
        <v>6.75</v>
      </c>
      <c r="AN143" s="15">
        <f t="shared" si="217"/>
        <v>-1.1796354326918184E-2</v>
      </c>
      <c r="AO143" s="15">
        <f t="shared" si="218"/>
        <v>-3.6709852803611868E-3</v>
      </c>
      <c r="AP143" s="15">
        <f t="shared" si="219"/>
        <v>4.6692525014492958E-3</v>
      </c>
      <c r="AQ143" s="15">
        <f t="shared" si="220"/>
        <v>1.3182742679404325E-2</v>
      </c>
      <c r="AR143" s="15">
        <f t="shared" si="221"/>
        <v>2.1828411510890485E-2</v>
      </c>
      <c r="AS143" s="15">
        <f t="shared" si="222"/>
        <v>3.0566014290375886E-2</v>
      </c>
      <c r="AT143" s="15">
        <f t="shared" si="223"/>
        <v>3.9356401363368092E-2</v>
      </c>
      <c r="AU143" s="15">
        <f t="shared" si="224"/>
        <v>4.8161760269417909E-2</v>
      </c>
      <c r="AV143" s="15">
        <f t="shared" si="225"/>
        <v>5.694583166317211E-2</v>
      </c>
      <c r="AW143" s="16">
        <f t="shared" si="226"/>
        <v>6.5674097533442458E-2</v>
      </c>
    </row>
    <row r="144" spans="11:51">
      <c r="K144" s="6">
        <v>7</v>
      </c>
      <c r="L144" s="7">
        <f t="shared" si="227"/>
        <v>-0.15000000000000013</v>
      </c>
      <c r="M144" s="7">
        <f t="shared" si="206"/>
        <v>1.5572411502397439</v>
      </c>
      <c r="N144" s="7">
        <f t="shared" si="206"/>
        <v>1.656804152578089</v>
      </c>
      <c r="O144" s="13">
        <f t="shared" si="206"/>
        <v>1.7564168070250297</v>
      </c>
      <c r="P144" s="13">
        <f t="shared" si="206"/>
        <v>1.8560711193270587</v>
      </c>
      <c r="Q144" s="13">
        <f t="shared" si="206"/>
        <v>1.9557607215607946</v>
      </c>
      <c r="R144" s="13">
        <f t="shared" si="206"/>
        <v>2.0554804791094465</v>
      </c>
      <c r="S144" s="13">
        <f t="shared" si="206"/>
        <v>2.155226206225231</v>
      </c>
      <c r="T144" s="13">
        <f t="shared" si="206"/>
        <v>2.2549944567559361</v>
      </c>
      <c r="U144" s="13">
        <f t="shared" si="206"/>
        <v>2.3547823678633235</v>
      </c>
      <c r="V144" s="14">
        <f t="shared" si="206"/>
        <v>2.4545875417267156</v>
      </c>
      <c r="X144" s="43">
        <v>7</v>
      </c>
      <c r="Y144" s="15">
        <v>9</v>
      </c>
      <c r="Z144" s="15">
        <f t="shared" si="228"/>
        <v>6.75</v>
      </c>
      <c r="AA144" s="15">
        <f t="shared" si="207"/>
        <v>6.9273010617411455</v>
      </c>
      <c r="AB144" s="15">
        <f t="shared" si="208"/>
        <v>6.9503597029218565</v>
      </c>
      <c r="AC144" s="15">
        <f t="shared" si="209"/>
        <v>6.974775982065661</v>
      </c>
      <c r="AD144" s="15">
        <f t="shared" si="210"/>
        <v>7.0005356937880121</v>
      </c>
      <c r="AE144" s="15">
        <f t="shared" si="211"/>
        <v>7.0276240650734874</v>
      </c>
      <c r="AF144" s="15">
        <f t="shared" si="212"/>
        <v>7.0560257936036486</v>
      </c>
      <c r="AG144" s="15">
        <f t="shared" si="213"/>
        <v>7.0857250863972983</v>
      </c>
      <c r="AH144" s="15">
        <f t="shared" si="214"/>
        <v>7.116705698565875</v>
      </c>
      <c r="AI144" s="15">
        <f t="shared" si="215"/>
        <v>7.1489509719958217</v>
      </c>
      <c r="AJ144" s="16">
        <f t="shared" si="216"/>
        <v>7.1824438737800103</v>
      </c>
      <c r="AL144" s="43">
        <v>9</v>
      </c>
      <c r="AM144" s="15">
        <f t="shared" si="229"/>
        <v>6.75</v>
      </c>
      <c r="AN144" s="15">
        <f t="shared" si="217"/>
        <v>-1.1233846008875701E-2</v>
      </c>
      <c r="AO144" s="15">
        <f t="shared" si="218"/>
        <v>-3.1605397615413642E-3</v>
      </c>
      <c r="AP144" s="15">
        <f t="shared" si="219"/>
        <v>5.1339416216825886E-3</v>
      </c>
      <c r="AQ144" s="15">
        <f t="shared" si="220"/>
        <v>1.3606687163607929E-2</v>
      </c>
      <c r="AR144" s="15">
        <f t="shared" si="221"/>
        <v>2.2215663493016572E-2</v>
      </c>
      <c r="AS144" s="15">
        <f t="shared" si="222"/>
        <v>3.091990573798355E-2</v>
      </c>
      <c r="AT144" s="15">
        <f t="shared" si="223"/>
        <v>3.9679717860772824E-2</v>
      </c>
      <c r="AU144" s="15">
        <f t="shared" si="224"/>
        <v>4.8456868780390266E-2</v>
      </c>
      <c r="AV144" s="15">
        <f t="shared" si="225"/>
        <v>5.7214775490910495E-2</v>
      </c>
      <c r="AW144" s="16">
        <f t="shared" si="226"/>
        <v>6.5918667539658152E-2</v>
      </c>
    </row>
    <row r="145" spans="11:51">
      <c r="K145" s="6">
        <v>8</v>
      </c>
      <c r="L145" s="7">
        <f t="shared" si="227"/>
        <v>-0.25000000000000011</v>
      </c>
      <c r="M145" s="7">
        <f t="shared" si="206"/>
        <v>1.5700318468107584</v>
      </c>
      <c r="N145" s="7">
        <f t="shared" si="206"/>
        <v>1.6688319268278635</v>
      </c>
      <c r="O145" s="13">
        <f t="shared" si="206"/>
        <v>1.7677669529663689</v>
      </c>
      <c r="P145" s="13">
        <f t="shared" si="206"/>
        <v>1.8668154702594471</v>
      </c>
      <c r="Q145" s="13">
        <f t="shared" si="206"/>
        <v>1.9659603251337499</v>
      </c>
      <c r="R145" s="13">
        <f t="shared" si="206"/>
        <v>2.0651876428063383</v>
      </c>
      <c r="S145" s="13">
        <f t="shared" si="206"/>
        <v>2.1644860821913365</v>
      </c>
      <c r="T145" s="13">
        <f t="shared" si="206"/>
        <v>2.2638462845343543</v>
      </c>
      <c r="U145" s="13">
        <f t="shared" si="206"/>
        <v>2.363260459619295</v>
      </c>
      <c r="V145" s="14">
        <f t="shared" si="206"/>
        <v>2.4627220712049507</v>
      </c>
      <c r="X145" s="43">
        <v>8</v>
      </c>
      <c r="Y145" s="15">
        <v>9</v>
      </c>
      <c r="Z145" s="15">
        <f t="shared" si="228"/>
        <v>6.75</v>
      </c>
      <c r="AA145" s="15">
        <f t="shared" si="207"/>
        <v>6.9301875876486925</v>
      </c>
      <c r="AB145" s="15">
        <f t="shared" si="208"/>
        <v>6.9532366564068564</v>
      </c>
      <c r="AC145" s="15">
        <f t="shared" si="209"/>
        <v>6.9776428684764316</v>
      </c>
      <c r="AD145" s="15">
        <f t="shared" si="210"/>
        <v>7.0033920352926122</v>
      </c>
      <c r="AE145" s="15">
        <f t="shared" si="211"/>
        <v>7.030469401113983</v>
      </c>
      <c r="AF145" s="15">
        <f t="shared" si="212"/>
        <v>7.0588596812799729</v>
      </c>
      <c r="AG145" s="15">
        <f t="shared" si="213"/>
        <v>7.0885471007816543</v>
      </c>
      <c r="AH145" s="15">
        <f t="shared" si="214"/>
        <v>7.1195154329490711</v>
      </c>
      <c r="AI145" s="15">
        <f t="shared" si="215"/>
        <v>7.1517480380673364</v>
      </c>
      <c r="AJ145" s="16">
        <f t="shared" si="216"/>
        <v>7.1852279017439669</v>
      </c>
      <c r="AL145" s="43">
        <v>9</v>
      </c>
      <c r="AM145" s="15">
        <f t="shared" si="229"/>
        <v>6.75</v>
      </c>
      <c r="AN145" s="15">
        <f t="shared" si="217"/>
        <v>-1.0126380660013007E-2</v>
      </c>
      <c r="AO145" s="15">
        <f t="shared" si="218"/>
        <v>-2.1539329414135442E-3</v>
      </c>
      <c r="AP145" s="15">
        <f t="shared" si="219"/>
        <v>6.0515213802553773E-3</v>
      </c>
      <c r="AQ145" s="15">
        <f t="shared" si="220"/>
        <v>1.4444704800704821E-2</v>
      </c>
      <c r="AR145" s="15">
        <f t="shared" si="221"/>
        <v>2.2981815942126758E-2</v>
      </c>
      <c r="AS145" s="15">
        <f t="shared" si="222"/>
        <v>3.1620554489839268E-2</v>
      </c>
      <c r="AT145" s="15">
        <f t="shared" si="223"/>
        <v>4.0320205774398626E-2</v>
      </c>
      <c r="AU145" s="15">
        <f t="shared" si="224"/>
        <v>4.9041754781167186E-2</v>
      </c>
      <c r="AV145" s="15">
        <f t="shared" si="225"/>
        <v>5.7748010120881522E-2</v>
      </c>
      <c r="AW145" s="16">
        <f t="shared" si="226"/>
        <v>6.6403725312101383E-2</v>
      </c>
    </row>
    <row r="146" spans="11:51">
      <c r="K146" s="6">
        <v>9</v>
      </c>
      <c r="L146" s="7">
        <f t="shared" si="227"/>
        <v>-0.35000000000000009</v>
      </c>
      <c r="M146" s="7">
        <f t="shared" si="206"/>
        <v>1.5890248582070705</v>
      </c>
      <c r="N146" s="7">
        <f t="shared" si="206"/>
        <v>1.6867127793432999</v>
      </c>
      <c r="O146" s="13">
        <f t="shared" si="206"/>
        <v>1.7846568297574747</v>
      </c>
      <c r="P146" s="13">
        <f t="shared" si="206"/>
        <v>1.8828170383762732</v>
      </c>
      <c r="Q146" s="13">
        <f t="shared" si="206"/>
        <v>1.9811612756158949</v>
      </c>
      <c r="R146" s="13">
        <f t="shared" si="206"/>
        <v>2.0796634343085421</v>
      </c>
      <c r="S146" s="13">
        <f t="shared" si="206"/>
        <v>2.178302091079197</v>
      </c>
      <c r="T146" s="13">
        <f t="shared" si="206"/>
        <v>2.2770595073471402</v>
      </c>
      <c r="U146" s="13">
        <f t="shared" si="206"/>
        <v>2.3759208741033446</v>
      </c>
      <c r="V146" s="14">
        <f t="shared" si="206"/>
        <v>2.4748737341529168</v>
      </c>
      <c r="X146" s="43">
        <v>9</v>
      </c>
      <c r="Y146" s="15">
        <v>9</v>
      </c>
      <c r="Z146" s="15">
        <f t="shared" si="228"/>
        <v>6.75</v>
      </c>
      <c r="AA146" s="15">
        <f t="shared" si="207"/>
        <v>6.9345151236405851</v>
      </c>
      <c r="AB146" s="15">
        <f t="shared" si="208"/>
        <v>6.9575498560915827</v>
      </c>
      <c r="AC146" s="15">
        <f t="shared" si="209"/>
        <v>6.9819409908706618</v>
      </c>
      <c r="AD146" s="15">
        <f t="shared" si="210"/>
        <v>7.0076743645805921</v>
      </c>
      <c r="AE146" s="15">
        <f t="shared" si="211"/>
        <v>7.0347352473280758</v>
      </c>
      <c r="AF146" s="15">
        <f t="shared" si="212"/>
        <v>7.0631083808759438</v>
      </c>
      <c r="AG146" s="15">
        <f t="shared" si="213"/>
        <v>7.0927780171100805</v>
      </c>
      <c r="AH146" s="15">
        <f t="shared" si="214"/>
        <v>7.1237279566249585</v>
      </c>
      <c r="AI146" s="15">
        <f t="shared" si="215"/>
        <v>7.1559415872406342</v>
      </c>
      <c r="AJ146" s="16">
        <f t="shared" si="216"/>
        <v>7.1894019222742029</v>
      </c>
      <c r="AL146" s="43">
        <v>9</v>
      </c>
      <c r="AM146" s="15">
        <f t="shared" si="229"/>
        <v>6.75</v>
      </c>
      <c r="AN146" s="15">
        <f t="shared" si="217"/>
        <v>-8.5075317732208593E-3</v>
      </c>
      <c r="AO146" s="15">
        <f t="shared" si="218"/>
        <v>-6.7864298283102145E-4</v>
      </c>
      <c r="AP146" s="15">
        <f t="shared" si="219"/>
        <v>7.3991898794282486E-3</v>
      </c>
      <c r="AQ146" s="15">
        <f t="shared" si="220"/>
        <v>1.5677644567329369E-2</v>
      </c>
      <c r="AR146" s="15">
        <f t="shared" si="221"/>
        <v>2.411061420289283E-2</v>
      </c>
      <c r="AS146" s="15">
        <f t="shared" si="222"/>
        <v>3.2654037720945057E-2</v>
      </c>
      <c r="AT146" s="15">
        <f t="shared" si="223"/>
        <v>4.1265845123548806E-2</v>
      </c>
      <c r="AU146" s="15">
        <f t="shared" si="224"/>
        <v>4.9905970418607372E-2</v>
      </c>
      <c r="AV146" s="15">
        <f t="shared" si="225"/>
        <v>5.8536401398904321E-2</v>
      </c>
      <c r="AW146" s="16">
        <f t="shared" si="226"/>
        <v>6.7121245865074369E-2</v>
      </c>
    </row>
    <row r="147" spans="11:51" ht="15.75" customHeight="1">
      <c r="K147" s="8">
        <v>10</v>
      </c>
      <c r="L147" s="9">
        <f t="shared" si="227"/>
        <v>-0.45000000000000007</v>
      </c>
      <c r="M147" s="9">
        <f t="shared" si="206"/>
        <v>1.6140012391568974</v>
      </c>
      <c r="N147" s="9">
        <f t="shared" si="206"/>
        <v>1.710263137648707</v>
      </c>
      <c r="O147" s="17">
        <f t="shared" si="206"/>
        <v>1.8069310999592652</v>
      </c>
      <c r="P147" s="17">
        <f t="shared" si="206"/>
        <v>1.9039432764659772</v>
      </c>
      <c r="Q147" s="17">
        <f t="shared" si="206"/>
        <v>2.00124960961895</v>
      </c>
      <c r="R147" s="17">
        <f t="shared" si="206"/>
        <v>2.0988091861815357</v>
      </c>
      <c r="S147" s="17">
        <f t="shared" si="206"/>
        <v>2.1965882636488798</v>
      </c>
      <c r="T147" s="17">
        <f t="shared" si="206"/>
        <v>2.2945587811167529</v>
      </c>
      <c r="U147" s="17">
        <f t="shared" si="206"/>
        <v>2.3926972228010799</v>
      </c>
      <c r="V147" s="18">
        <f t="shared" si="206"/>
        <v>2.4909837414162301</v>
      </c>
      <c r="X147" s="44">
        <v>10</v>
      </c>
      <c r="Y147" s="23">
        <v>9</v>
      </c>
      <c r="Z147" s="23">
        <f t="shared" si="228"/>
        <v>6.75</v>
      </c>
      <c r="AA147" s="23">
        <f t="shared" si="207"/>
        <v>6.9402809741393039</v>
      </c>
      <c r="AB147" s="23">
        <f t="shared" si="208"/>
        <v>6.9632966330610957</v>
      </c>
      <c r="AC147" s="23">
        <f t="shared" si="209"/>
        <v>6.9876677081841834</v>
      </c>
      <c r="AD147" s="23">
        <f t="shared" si="210"/>
        <v>7.0133800695527686</v>
      </c>
      <c r="AE147" s="23">
        <f t="shared" si="211"/>
        <v>7.0404190216208011</v>
      </c>
      <c r="AF147" s="23">
        <f t="shared" si="212"/>
        <v>7.0687693412644323</v>
      </c>
      <c r="AG147" s="23">
        <f t="shared" si="213"/>
        <v>7.0984153161110548</v>
      </c>
      <c r="AH147" s="23">
        <f t="shared" si="214"/>
        <v>7.1293407829896864</v>
      </c>
      <c r="AI147" s="23">
        <f t="shared" si="215"/>
        <v>7.1615291663163676</v>
      </c>
      <c r="AJ147" s="24">
        <f t="shared" si="216"/>
        <v>7.1949635162382855</v>
      </c>
      <c r="AL147" s="44">
        <v>9</v>
      </c>
      <c r="AM147" s="23">
        <f t="shared" si="229"/>
        <v>6.75</v>
      </c>
      <c r="AN147" s="23">
        <f t="shared" si="217"/>
        <v>-6.4241088309446148E-3</v>
      </c>
      <c r="AO147" s="23">
        <f t="shared" si="218"/>
        <v>1.2266674902762687E-3</v>
      </c>
      <c r="AP147" s="23">
        <f t="shared" si="219"/>
        <v>9.14462127886294E-3</v>
      </c>
      <c r="AQ147" s="23">
        <f t="shared" si="220"/>
        <v>1.7278185603664384E-2</v>
      </c>
      <c r="AR147" s="23">
        <f t="shared" si="221"/>
        <v>2.5578747377691401E-2</v>
      </c>
      <c r="AS147" s="23">
        <f t="shared" si="222"/>
        <v>3.400030028040666E-2</v>
      </c>
      <c r="AT147" s="23">
        <f t="shared" si="223"/>
        <v>4.2499256955139383E-2</v>
      </c>
      <c r="AU147" s="23">
        <f t="shared" si="224"/>
        <v>5.1034361802662374E-2</v>
      </c>
      <c r="AV147" s="23">
        <f t="shared" si="225"/>
        <v>5.9566664974870072E-2</v>
      </c>
      <c r="AW147" s="24">
        <f t="shared" si="226"/>
        <v>6.8059530905656793E-2</v>
      </c>
    </row>
    <row r="148" spans="11:51">
      <c r="K148" s="1"/>
      <c r="L148" s="1"/>
      <c r="M148" s="1"/>
      <c r="N148" s="1"/>
      <c r="O148" s="10"/>
      <c r="P148" s="10"/>
    </row>
    <row r="149" spans="11:51" ht="30">
      <c r="K149" s="4" t="s">
        <v>18</v>
      </c>
      <c r="L149" s="5" t="s">
        <v>17</v>
      </c>
      <c r="M149" s="5">
        <v>1</v>
      </c>
      <c r="N149" s="5">
        <v>2</v>
      </c>
      <c r="O149" s="11">
        <v>3</v>
      </c>
      <c r="P149" s="11">
        <v>4</v>
      </c>
      <c r="Q149" s="11">
        <v>5</v>
      </c>
      <c r="R149" s="11">
        <v>6</v>
      </c>
      <c r="S149" s="11">
        <v>7</v>
      </c>
      <c r="T149" s="11">
        <v>8</v>
      </c>
      <c r="U149" s="11">
        <v>9</v>
      </c>
      <c r="V149" s="12">
        <v>10</v>
      </c>
    </row>
    <row r="150" spans="11:51">
      <c r="K150" s="6"/>
      <c r="L150" s="7" t="s">
        <v>125</v>
      </c>
      <c r="M150" s="7">
        <f t="shared" ref="M150:V150" si="230">$E$7+($B$17/2+$B$17*(M149-1))</f>
        <v>1.55</v>
      </c>
      <c r="N150" s="7">
        <f t="shared" si="230"/>
        <v>1.65</v>
      </c>
      <c r="O150" s="7">
        <f t="shared" si="230"/>
        <v>1.75</v>
      </c>
      <c r="P150" s="7">
        <f t="shared" si="230"/>
        <v>1.85</v>
      </c>
      <c r="Q150" s="7">
        <f t="shared" si="230"/>
        <v>1.95</v>
      </c>
      <c r="R150" s="7">
        <f t="shared" si="230"/>
        <v>2.0499999999999998</v>
      </c>
      <c r="S150" s="7">
        <f t="shared" si="230"/>
        <v>2.1500000000000004</v>
      </c>
      <c r="T150" s="7">
        <f t="shared" si="230"/>
        <v>2.25</v>
      </c>
      <c r="U150" s="7">
        <f t="shared" si="230"/>
        <v>2.35</v>
      </c>
      <c r="V150" s="7">
        <f t="shared" si="230"/>
        <v>2.4500000000000002</v>
      </c>
    </row>
    <row r="151" spans="11:51">
      <c r="K151" s="6" t="s">
        <v>19</v>
      </c>
      <c r="L151" s="7" t="s">
        <v>126</v>
      </c>
      <c r="M151" s="7"/>
      <c r="N151" s="7"/>
      <c r="O151" s="13"/>
      <c r="P151" s="13"/>
      <c r="Q151" s="15"/>
      <c r="R151" s="15"/>
      <c r="S151" s="15"/>
      <c r="T151" s="15"/>
      <c r="U151" s="15"/>
      <c r="V151" s="16"/>
      <c r="AA151" s="2" t="s">
        <v>115</v>
      </c>
      <c r="AB151" s="2" t="s">
        <v>116</v>
      </c>
      <c r="AC151" s="2" t="s">
        <v>117</v>
      </c>
      <c r="AD151" s="2" t="s">
        <v>118</v>
      </c>
      <c r="AE151" s="2" t="s">
        <v>119</v>
      </c>
      <c r="AF151" s="2" t="s">
        <v>120</v>
      </c>
      <c r="AG151" s="2" t="s">
        <v>121</v>
      </c>
      <c r="AH151" s="2" t="s">
        <v>122</v>
      </c>
      <c r="AI151" s="2" t="s">
        <v>123</v>
      </c>
      <c r="AJ151" s="2" t="s">
        <v>124</v>
      </c>
      <c r="AX151" s="2" t="s">
        <v>129</v>
      </c>
      <c r="AY151" s="2">
        <f>SUM(AN152:AW161)</f>
        <v>0.88006986222591754</v>
      </c>
    </row>
    <row r="152" spans="11:51">
      <c r="K152" s="6">
        <v>1</v>
      </c>
      <c r="L152" s="7">
        <f>$B$9/2-($B$18/2+$B$18*(K152-1))</f>
        <v>0.45</v>
      </c>
      <c r="M152" s="7">
        <f t="shared" ref="M152:V161" si="231">SQRT(M$24^2+$L152^2)</f>
        <v>1.6140012391568974</v>
      </c>
      <c r="N152" s="7">
        <f t="shared" si="231"/>
        <v>1.710263137648707</v>
      </c>
      <c r="O152" s="13">
        <f t="shared" si="231"/>
        <v>1.8069310999592652</v>
      </c>
      <c r="P152" s="13">
        <f t="shared" si="231"/>
        <v>1.9039432764659772</v>
      </c>
      <c r="Q152" s="13">
        <f t="shared" si="231"/>
        <v>2.00124960961895</v>
      </c>
      <c r="R152" s="13">
        <f t="shared" si="231"/>
        <v>2.0988091861815357</v>
      </c>
      <c r="S152" s="13">
        <f t="shared" si="231"/>
        <v>2.1965882636488798</v>
      </c>
      <c r="T152" s="13">
        <f t="shared" si="231"/>
        <v>2.2945587811167529</v>
      </c>
      <c r="U152" s="13">
        <f t="shared" si="231"/>
        <v>2.3926972228010799</v>
      </c>
      <c r="V152" s="14">
        <f t="shared" si="231"/>
        <v>2.4909837414162301</v>
      </c>
      <c r="X152" s="55">
        <v>1</v>
      </c>
      <c r="Y152" s="25">
        <v>10</v>
      </c>
      <c r="Z152" s="25">
        <f>Y152*$B$19</f>
        <v>7.5</v>
      </c>
      <c r="AA152" s="25">
        <f t="shared" ref="AA152:AA161" si="232">SQRT($Z152^2+M152^2)</f>
        <v>7.6717012454865579</v>
      </c>
      <c r="AB152" s="25">
        <f t="shared" ref="AB152:AB161" si="233">SQRT($Z152^2+N152^2)</f>
        <v>7.6925288429748511</v>
      </c>
      <c r="AC152" s="25">
        <f t="shared" ref="AC152:AC161" si="234">SQRT($Z152^2+O152^2)</f>
        <v>7.7145965545840438</v>
      </c>
      <c r="AD152" s="25">
        <f t="shared" ref="AD152:AD161" si="235">SQRT($Z152^2+P152^2)</f>
        <v>7.7378937702710804</v>
      </c>
      <c r="AE152" s="25">
        <f t="shared" ref="AE152:AE161" si="236">SQRT($Z152^2+Q152^2)</f>
        <v>7.7624094197613669</v>
      </c>
      <c r="AF152" s="25">
        <f t="shared" ref="AF152:AF161" si="237">SQRT($Z152^2+R152^2)</f>
        <v>7.7881319968269667</v>
      </c>
      <c r="AG152" s="25">
        <f t="shared" ref="AG152:AG161" si="238">SQRT($Z152^2+S152^2)</f>
        <v>7.815049583975779</v>
      </c>
      <c r="AH152" s="25">
        <f t="shared" ref="AH152:AH161" si="239">SQRT($Z152^2+T152^2)</f>
        <v>7.8431498774408235</v>
      </c>
      <c r="AI152" s="25">
        <f t="shared" ref="AI152:AI161" si="240">SQRT($Z152^2+U152^2)</f>
        <v>7.872420212361634</v>
      </c>
      <c r="AJ152" s="20">
        <f t="shared" ref="AJ152:AJ161" si="241">SQRT($Z152^2+V26^2)</f>
        <v>7.9028475880533087</v>
      </c>
      <c r="AL152" s="55">
        <v>10</v>
      </c>
      <c r="AM152" s="25">
        <f>AL152*$B$19</f>
        <v>7.5</v>
      </c>
      <c r="AN152" s="25">
        <f t="shared" ref="AN152:AN161" si="242">$B$20/(2*PI())*(3*M152^2*$AM152/AA152^5-(1-2*$B$11)/(AA152*(AA152+$AM152)))*(M$150/M152)</f>
        <v>-1.5201393056435477E-2</v>
      </c>
      <c r="AO152" s="25">
        <f t="shared" ref="AO152:AO161" si="243">$B$20/(2*PI())*(3*N152^2*$AM152/AB152^5-(1-2*$B$11)/(AB152*(AB152+$AM152)))*(N$150/N152)</f>
        <v>-9.9462815508561744E-3</v>
      </c>
      <c r="AP152" s="25">
        <f t="shared" ref="AP152:AP161" si="244">$B$20/(2*PI())*(3*O152^2*$AM152/AC152^5-(1-2*$B$11)/(AC152*(AC152+$AM152)))*(O$150/O152)</f>
        <v>-4.4624254362790172E-3</v>
      </c>
      <c r="AQ152" s="25">
        <f t="shared" ref="AQ152:AQ161" si="245">$B$20/(2*PI())*(3*P152^2*$AM152/AD152^5-(1-2*$B$11)/(AD152*(AD152+$AM152)))*(P$150/P152)</f>
        <v>1.2171792864073625E-3</v>
      </c>
      <c r="AR152" s="25">
        <f t="shared" ref="AR152:AR161" si="246">$B$20/(2*PI())*(3*Q152^2*$AM152/AE152^5-(1-2*$B$11)/(AE152*(AE152+$AM152)))*(Q$150/Q152)</f>
        <v>7.0615065884325097E-3</v>
      </c>
      <c r="AS152" s="25">
        <f t="shared" ref="AS152:AS161" si="247">$B$20/(2*PI())*(3*R152^2*$AM152/AF152^5-(1-2*$B$11)/(AF152*(AF152+$AM152)))*(R$150/R152)</f>
        <v>1.3041137298354807E-2</v>
      </c>
      <c r="AT152" s="25">
        <f t="shared" ref="AT152:AT161" si="248">$B$20/(2*PI())*(3*S152^2*$AM152/AG152^5-(1-2*$B$11)/(AG152*(AG152+$AM152)))*(S$150/S152)</f>
        <v>1.9128036932184858E-2</v>
      </c>
      <c r="AU152" s="25">
        <f t="shared" ref="AU152:AU161" si="249">$B$20/(2*PI())*(3*T152^2*$AM152/AH152^5-(1-2*$B$11)/(AH152*(AH152+$AM152)))*(T$150/T152)</f>
        <v>2.5295427153219405E-2</v>
      </c>
      <c r="AV152" s="25">
        <f t="shared" ref="AV152:AV161" si="250">$B$20/(2*PI())*(3*U152^2*$AM152/AI152^5-(1-2*$B$11)/(AI152*(AI152+$AM152)))*(U$150/U152)</f>
        <v>3.1517718983648892E-2</v>
      </c>
      <c r="AW152" s="20">
        <f t="shared" ref="AW152:AW161" si="251">$B$20/(2*PI())*(3*V152^2*$AM152/AJ152^5-(1-2*$B$11)/(AJ152*(AJ152+$AM152)))*(V$150/V152)</f>
        <v>3.7770486009331215E-2</v>
      </c>
    </row>
    <row r="153" spans="11:51">
      <c r="K153" s="6">
        <v>2</v>
      </c>
      <c r="L153" s="7">
        <f t="shared" ref="L153:L161" si="252">$B$9/2-($B$18/2+$B$18*(K153-1))</f>
        <v>0.35</v>
      </c>
      <c r="M153" s="7">
        <f t="shared" si="231"/>
        <v>1.5890248582070705</v>
      </c>
      <c r="N153" s="7">
        <f t="shared" si="231"/>
        <v>1.6867127793432999</v>
      </c>
      <c r="O153" s="13">
        <f t="shared" si="231"/>
        <v>1.7846568297574747</v>
      </c>
      <c r="P153" s="13">
        <f t="shared" si="231"/>
        <v>1.8828170383762732</v>
      </c>
      <c r="Q153" s="13">
        <f t="shared" si="231"/>
        <v>1.9811612756158949</v>
      </c>
      <c r="R153" s="13">
        <f t="shared" si="231"/>
        <v>2.0796634343085421</v>
      </c>
      <c r="S153" s="13">
        <f t="shared" si="231"/>
        <v>2.1783020910791966</v>
      </c>
      <c r="T153" s="13">
        <f t="shared" si="231"/>
        <v>2.2770595073471398</v>
      </c>
      <c r="U153" s="13">
        <f t="shared" si="231"/>
        <v>2.3759208741033446</v>
      </c>
      <c r="V153" s="14">
        <f t="shared" si="231"/>
        <v>2.4748737341529163</v>
      </c>
      <c r="X153" s="43">
        <v>2</v>
      </c>
      <c r="Y153" s="15">
        <v>10</v>
      </c>
      <c r="Z153" s="15">
        <f t="shared" ref="Z153:Z161" si="253">Y153*$B$19</f>
        <v>7.5</v>
      </c>
      <c r="AA153" s="15">
        <f t="shared" si="232"/>
        <v>7.6664855051059737</v>
      </c>
      <c r="AB153" s="15">
        <f t="shared" si="233"/>
        <v>7.6873272338310148</v>
      </c>
      <c r="AC153" s="15">
        <f t="shared" si="234"/>
        <v>7.709409834740919</v>
      </c>
      <c r="AD153" s="15">
        <f t="shared" si="235"/>
        <v>7.7327226770394395</v>
      </c>
      <c r="AE153" s="15">
        <f t="shared" si="236"/>
        <v>7.7572546690178994</v>
      </c>
      <c r="AF153" s="15">
        <f t="shared" si="237"/>
        <v>7.7829942824082821</v>
      </c>
      <c r="AG153" s="15">
        <f t="shared" si="238"/>
        <v>7.8099295771472868</v>
      </c>
      <c r="AH153" s="15">
        <f t="shared" si="239"/>
        <v>7.8380482264400495</v>
      </c>
      <c r="AI153" s="15">
        <f t="shared" si="240"/>
        <v>7.8673375420150879</v>
      </c>
      <c r="AJ153" s="16">
        <f t="shared" si="241"/>
        <v>7.897784499465657</v>
      </c>
      <c r="AL153" s="43">
        <v>10</v>
      </c>
      <c r="AM153" s="15">
        <f t="shared" ref="AM153:AM161" si="254">AL153*$B$19</f>
        <v>7.5</v>
      </c>
      <c r="AN153" s="15">
        <f t="shared" si="242"/>
        <v>-1.6809434324046676E-2</v>
      </c>
      <c r="AO153" s="15">
        <f t="shared" si="243"/>
        <v>-1.1421226380077438E-2</v>
      </c>
      <c r="AP153" s="15">
        <f t="shared" si="244"/>
        <v>-5.8191827342818601E-3</v>
      </c>
      <c r="AQ153" s="15">
        <f t="shared" si="245"/>
        <v>-3.356112423934622E-5</v>
      </c>
      <c r="AR153" s="15">
        <f t="shared" si="246"/>
        <v>5.906742478214628E-3</v>
      </c>
      <c r="AS153" s="15">
        <f t="shared" si="247"/>
        <v>1.1973975207278432E-2</v>
      </c>
      <c r="AT153" s="15">
        <f t="shared" si="248"/>
        <v>1.814141329248042E-2</v>
      </c>
      <c r="AU153" s="15">
        <f t="shared" si="249"/>
        <v>2.4383314871139587E-2</v>
      </c>
      <c r="AV153" s="15">
        <f t="shared" si="250"/>
        <v>3.0674914757741308E-2</v>
      </c>
      <c r="AW153" s="16">
        <f t="shared" si="251"/>
        <v>3.6992444540879778E-2</v>
      </c>
    </row>
    <row r="154" spans="11:51">
      <c r="K154" s="6">
        <v>3</v>
      </c>
      <c r="L154" s="7">
        <f t="shared" si="252"/>
        <v>0.25</v>
      </c>
      <c r="M154" s="7">
        <f t="shared" si="231"/>
        <v>1.5700318468107584</v>
      </c>
      <c r="N154" s="7">
        <f t="shared" si="231"/>
        <v>1.6688319268278635</v>
      </c>
      <c r="O154" s="13">
        <f t="shared" si="231"/>
        <v>1.7677669529663689</v>
      </c>
      <c r="P154" s="13">
        <f t="shared" si="231"/>
        <v>1.8668154702594471</v>
      </c>
      <c r="Q154" s="13">
        <f t="shared" si="231"/>
        <v>1.9659603251337499</v>
      </c>
      <c r="R154" s="13">
        <f t="shared" si="231"/>
        <v>2.0651876428063383</v>
      </c>
      <c r="S154" s="13">
        <f t="shared" si="231"/>
        <v>2.1644860821913365</v>
      </c>
      <c r="T154" s="13">
        <f t="shared" si="231"/>
        <v>2.2638462845343543</v>
      </c>
      <c r="U154" s="13">
        <f t="shared" si="231"/>
        <v>2.363260459619295</v>
      </c>
      <c r="V154" s="14">
        <f t="shared" si="231"/>
        <v>2.4627220712049507</v>
      </c>
      <c r="X154" s="43">
        <v>3</v>
      </c>
      <c r="Y154" s="15">
        <v>10</v>
      </c>
      <c r="Z154" s="15">
        <f t="shared" si="253"/>
        <v>7.5</v>
      </c>
      <c r="AA154" s="15">
        <f t="shared" si="232"/>
        <v>7.6625713699775746</v>
      </c>
      <c r="AB154" s="15">
        <f t="shared" si="233"/>
        <v>7.6834237160265992</v>
      </c>
      <c r="AC154" s="15">
        <f t="shared" si="234"/>
        <v>7.7055175037112207</v>
      </c>
      <c r="AD154" s="15">
        <f t="shared" si="235"/>
        <v>7.7288420866259129</v>
      </c>
      <c r="AE154" s="15">
        <f t="shared" si="236"/>
        <v>7.7533863569410757</v>
      </c>
      <c r="AF154" s="15">
        <f t="shared" si="237"/>
        <v>7.7791387698125041</v>
      </c>
      <c r="AG154" s="15">
        <f t="shared" si="238"/>
        <v>7.806087368201819</v>
      </c>
      <c r="AH154" s="15">
        <f t="shared" si="239"/>
        <v>7.8342198079961989</v>
      </c>
      <c r="AI154" s="15">
        <f t="shared" si="240"/>
        <v>7.8635233833187019</v>
      </c>
      <c r="AJ154" s="16">
        <f t="shared" si="241"/>
        <v>7.8939850519240284</v>
      </c>
      <c r="AL154" s="43">
        <v>10</v>
      </c>
      <c r="AM154" s="15">
        <f t="shared" si="254"/>
        <v>7.5</v>
      </c>
      <c r="AN154" s="15">
        <f t="shared" si="242"/>
        <v>-1.8058257165214395E-2</v>
      </c>
      <c r="AO154" s="15">
        <f t="shared" si="243"/>
        <v>-1.2562449206014738E-2</v>
      </c>
      <c r="AP154" s="15">
        <f t="shared" si="244"/>
        <v>-6.8657857705952969E-3</v>
      </c>
      <c r="AQ154" s="15">
        <f t="shared" si="245"/>
        <v>-9.959816388307439E-4</v>
      </c>
      <c r="AR154" s="15">
        <f t="shared" si="246"/>
        <v>5.020005234652106E-3</v>
      </c>
      <c r="AS154" s="15">
        <f t="shared" si="247"/>
        <v>1.1155912740825663E-2</v>
      </c>
      <c r="AT154" s="15">
        <f t="shared" si="248"/>
        <v>1.7386173488806899E-2</v>
      </c>
      <c r="AU154" s="15">
        <f t="shared" si="249"/>
        <v>2.3685949471172366E-2</v>
      </c>
      <c r="AV154" s="15">
        <f t="shared" si="250"/>
        <v>3.0031186915546144E-2</v>
      </c>
      <c r="AW154" s="16">
        <f t="shared" si="251"/>
        <v>3.639868099517788E-2</v>
      </c>
    </row>
    <row r="155" spans="11:51">
      <c r="K155" s="6">
        <v>4</v>
      </c>
      <c r="L155" s="7">
        <f t="shared" si="252"/>
        <v>0.14999999999999997</v>
      </c>
      <c r="M155" s="7">
        <f t="shared" si="231"/>
        <v>1.5572411502397439</v>
      </c>
      <c r="N155" s="7">
        <f t="shared" si="231"/>
        <v>1.656804152578089</v>
      </c>
      <c r="O155" s="13">
        <f t="shared" si="231"/>
        <v>1.7564168070250297</v>
      </c>
      <c r="P155" s="13">
        <f t="shared" si="231"/>
        <v>1.8560711193270587</v>
      </c>
      <c r="Q155" s="13">
        <f t="shared" si="231"/>
        <v>1.9557607215607946</v>
      </c>
      <c r="R155" s="13">
        <f t="shared" si="231"/>
        <v>2.0554804791094465</v>
      </c>
      <c r="S155" s="13">
        <f t="shared" si="231"/>
        <v>2.155226206225231</v>
      </c>
      <c r="T155" s="13">
        <f t="shared" si="231"/>
        <v>2.2549944567559361</v>
      </c>
      <c r="U155" s="13">
        <f t="shared" si="231"/>
        <v>2.3547823678633235</v>
      </c>
      <c r="V155" s="14">
        <f t="shared" si="231"/>
        <v>2.4545875417267156</v>
      </c>
      <c r="X155" s="43">
        <v>4</v>
      </c>
      <c r="Y155" s="15">
        <v>10</v>
      </c>
      <c r="Z155" s="15">
        <f t="shared" si="253"/>
        <v>7.5</v>
      </c>
      <c r="AA155" s="15">
        <f t="shared" si="232"/>
        <v>7.6599608354090165</v>
      </c>
      <c r="AB155" s="15">
        <f t="shared" si="233"/>
        <v>7.6808202686952649</v>
      </c>
      <c r="AC155" s="15">
        <f t="shared" si="234"/>
        <v>7.7029215236817778</v>
      </c>
      <c r="AD155" s="15">
        <f t="shared" si="235"/>
        <v>7.7262539435356379</v>
      </c>
      <c r="AE155" s="15">
        <f t="shared" si="236"/>
        <v>7.7508064096582885</v>
      </c>
      <c r="AF155" s="15">
        <f t="shared" si="237"/>
        <v>7.7765673661326948</v>
      </c>
      <c r="AG155" s="15">
        <f t="shared" si="238"/>
        <v>7.803524844581454</v>
      </c>
      <c r="AH155" s="15">
        <f t="shared" si="239"/>
        <v>7.8316664893239674</v>
      </c>
      <c r="AI155" s="15">
        <f t="shared" si="240"/>
        <v>7.8609795827237718</v>
      </c>
      <c r="AJ155" s="16">
        <f t="shared" si="241"/>
        <v>7.8914510706206622</v>
      </c>
      <c r="AL155" s="43">
        <v>10</v>
      </c>
      <c r="AM155" s="15">
        <f t="shared" si="254"/>
        <v>7.5</v>
      </c>
      <c r="AN155" s="15">
        <f t="shared" si="242"/>
        <v>-1.8912295359039474E-2</v>
      </c>
      <c r="AO155" s="15">
        <f t="shared" si="243"/>
        <v>-1.3340733041039408E-2</v>
      </c>
      <c r="AP155" s="15">
        <f t="shared" si="244"/>
        <v>-7.5779277293603108E-3</v>
      </c>
      <c r="AQ155" s="15">
        <f t="shared" si="245"/>
        <v>-1.649629517642951E-3</v>
      </c>
      <c r="AR155" s="15">
        <f t="shared" si="246"/>
        <v>4.418680251981842E-3</v>
      </c>
      <c r="AS155" s="15">
        <f t="shared" si="247"/>
        <v>1.0601862299959219E-2</v>
      </c>
      <c r="AT155" s="15">
        <f t="shared" si="248"/>
        <v>1.6875211898784555E-2</v>
      </c>
      <c r="AU155" s="15">
        <f t="shared" si="249"/>
        <v>2.3214559924538913E-2</v>
      </c>
      <c r="AV155" s="15">
        <f t="shared" si="250"/>
        <v>2.9596375525806663E-2</v>
      </c>
      <c r="AW155" s="16">
        <f t="shared" si="251"/>
        <v>3.599786577178303E-2</v>
      </c>
    </row>
    <row r="156" spans="11:51">
      <c r="K156" s="6">
        <v>5</v>
      </c>
      <c r="L156" s="7">
        <f t="shared" si="252"/>
        <v>4.9999999999999989E-2</v>
      </c>
      <c r="M156" s="7">
        <f t="shared" si="231"/>
        <v>1.5508062419270823</v>
      </c>
      <c r="N156" s="7">
        <f t="shared" si="231"/>
        <v>1.6507574019219178</v>
      </c>
      <c r="O156" s="13">
        <f t="shared" si="231"/>
        <v>1.7507141400011597</v>
      </c>
      <c r="P156" s="13">
        <f t="shared" si="231"/>
        <v>1.8506755523321747</v>
      </c>
      <c r="Q156" s="13">
        <f t="shared" si="231"/>
        <v>1.9506409203131159</v>
      </c>
      <c r="R156" s="13">
        <f t="shared" si="231"/>
        <v>2.0506096654409878</v>
      </c>
      <c r="S156" s="13">
        <f t="shared" si="231"/>
        <v>2.1505813167606571</v>
      </c>
      <c r="T156" s="13">
        <f t="shared" si="231"/>
        <v>2.2505554869853799</v>
      </c>
      <c r="U156" s="13">
        <f t="shared" si="231"/>
        <v>2.350531854708632</v>
      </c>
      <c r="V156" s="14">
        <f t="shared" si="231"/>
        <v>2.4505101509685696</v>
      </c>
      <c r="X156" s="43">
        <v>5</v>
      </c>
      <c r="Y156" s="15">
        <v>10</v>
      </c>
      <c r="Z156" s="15">
        <f t="shared" si="253"/>
        <v>7.5</v>
      </c>
      <c r="AA156" s="15">
        <f t="shared" si="232"/>
        <v>7.6586552344390073</v>
      </c>
      <c r="AB156" s="15">
        <f t="shared" si="233"/>
        <v>7.6795182140548377</v>
      </c>
      <c r="AC156" s="15">
        <f t="shared" si="234"/>
        <v>7.7016232055327141</v>
      </c>
      <c r="AD156" s="15">
        <f t="shared" si="235"/>
        <v>7.7249595468196466</v>
      </c>
      <c r="AE156" s="15">
        <f t="shared" si="236"/>
        <v>7.7495161139260818</v>
      </c>
      <c r="AF156" s="15">
        <f t="shared" si="237"/>
        <v>7.7752813453919467</v>
      </c>
      <c r="AG156" s="15">
        <f t="shared" si="238"/>
        <v>7.8022432671636173</v>
      </c>
      <c r="AH156" s="15">
        <f t="shared" si="239"/>
        <v>7.830389517769853</v>
      </c>
      <c r="AI156" s="15">
        <f t="shared" si="240"/>
        <v>7.859707373687649</v>
      </c>
      <c r="AJ156" s="16">
        <f t="shared" si="241"/>
        <v>7.8901837747925745</v>
      </c>
      <c r="AL156" s="43">
        <v>10</v>
      </c>
      <c r="AM156" s="15">
        <f t="shared" si="254"/>
        <v>7.5</v>
      </c>
      <c r="AN156" s="15">
        <f t="shared" si="242"/>
        <v>-1.9345999150207877E-2</v>
      </c>
      <c r="AO156" s="15">
        <f t="shared" si="243"/>
        <v>-1.3735284165604338E-2</v>
      </c>
      <c r="AP156" s="15">
        <f t="shared" si="244"/>
        <v>-7.9384429395766513E-3</v>
      </c>
      <c r="AQ156" s="15">
        <f t="shared" si="245"/>
        <v>-1.9801541408081083E-3</v>
      </c>
      <c r="AR156" s="15">
        <f t="shared" si="246"/>
        <v>4.114899609880992E-3</v>
      </c>
      <c r="AS156" s="15">
        <f t="shared" si="247"/>
        <v>1.0322182294024203E-2</v>
      </c>
      <c r="AT156" s="15">
        <f t="shared" si="248"/>
        <v>1.6617450056312967E-2</v>
      </c>
      <c r="AU156" s="15">
        <f t="shared" si="249"/>
        <v>2.2976889429701348E-2</v>
      </c>
      <c r="AV156" s="15">
        <f t="shared" si="250"/>
        <v>2.9377246499519043E-2</v>
      </c>
      <c r="AW156" s="16">
        <f t="shared" si="251"/>
        <v>3.5795945735322007E-2</v>
      </c>
    </row>
    <row r="157" spans="11:51">
      <c r="K157" s="6">
        <v>6</v>
      </c>
      <c r="L157" s="7">
        <f t="shared" si="252"/>
        <v>-5.0000000000000044E-2</v>
      </c>
      <c r="M157" s="7">
        <f t="shared" si="231"/>
        <v>1.5508062419270823</v>
      </c>
      <c r="N157" s="7">
        <f t="shared" si="231"/>
        <v>1.6507574019219178</v>
      </c>
      <c r="O157" s="13">
        <f t="shared" si="231"/>
        <v>1.7507141400011597</v>
      </c>
      <c r="P157" s="13">
        <f t="shared" si="231"/>
        <v>1.8506755523321747</v>
      </c>
      <c r="Q157" s="13">
        <f t="shared" si="231"/>
        <v>1.9506409203131159</v>
      </c>
      <c r="R157" s="13">
        <f t="shared" si="231"/>
        <v>2.0506096654409878</v>
      </c>
      <c r="S157" s="13">
        <f t="shared" si="231"/>
        <v>2.1505813167606571</v>
      </c>
      <c r="T157" s="13">
        <f t="shared" si="231"/>
        <v>2.2505554869853799</v>
      </c>
      <c r="U157" s="13">
        <f t="shared" si="231"/>
        <v>2.350531854708632</v>
      </c>
      <c r="V157" s="14">
        <f t="shared" si="231"/>
        <v>2.4505101509685696</v>
      </c>
      <c r="X157" s="43">
        <v>6</v>
      </c>
      <c r="Y157" s="15">
        <v>10</v>
      </c>
      <c r="Z157" s="15">
        <f t="shared" si="253"/>
        <v>7.5</v>
      </c>
      <c r="AA157" s="15">
        <f t="shared" si="232"/>
        <v>7.6586552344390073</v>
      </c>
      <c r="AB157" s="15">
        <f t="shared" si="233"/>
        <v>7.6795182140548377</v>
      </c>
      <c r="AC157" s="15">
        <f t="shared" si="234"/>
        <v>7.7016232055327141</v>
      </c>
      <c r="AD157" s="15">
        <f t="shared" si="235"/>
        <v>7.7249595468196466</v>
      </c>
      <c r="AE157" s="15">
        <f t="shared" si="236"/>
        <v>7.7495161139260818</v>
      </c>
      <c r="AF157" s="15">
        <f t="shared" si="237"/>
        <v>7.7752813453919467</v>
      </c>
      <c r="AG157" s="15">
        <f t="shared" si="238"/>
        <v>7.8022432671636173</v>
      </c>
      <c r="AH157" s="15">
        <f t="shared" si="239"/>
        <v>7.830389517769853</v>
      </c>
      <c r="AI157" s="15">
        <f t="shared" si="240"/>
        <v>7.859707373687649</v>
      </c>
      <c r="AJ157" s="16">
        <f t="shared" si="241"/>
        <v>7.8901837747925745</v>
      </c>
      <c r="AL157" s="43">
        <v>10</v>
      </c>
      <c r="AM157" s="15">
        <f t="shared" si="254"/>
        <v>7.5</v>
      </c>
      <c r="AN157" s="15">
        <f t="shared" si="242"/>
        <v>-1.9345999150207877E-2</v>
      </c>
      <c r="AO157" s="15">
        <f t="shared" si="243"/>
        <v>-1.3735284165604338E-2</v>
      </c>
      <c r="AP157" s="15">
        <f t="shared" si="244"/>
        <v>-7.9384429395766513E-3</v>
      </c>
      <c r="AQ157" s="15">
        <f t="shared" si="245"/>
        <v>-1.9801541408081083E-3</v>
      </c>
      <c r="AR157" s="15">
        <f t="shared" si="246"/>
        <v>4.114899609880992E-3</v>
      </c>
      <c r="AS157" s="15">
        <f t="shared" si="247"/>
        <v>1.0322182294024203E-2</v>
      </c>
      <c r="AT157" s="15">
        <f t="shared" si="248"/>
        <v>1.6617450056312967E-2</v>
      </c>
      <c r="AU157" s="15">
        <f t="shared" si="249"/>
        <v>2.2976889429701348E-2</v>
      </c>
      <c r="AV157" s="15">
        <f t="shared" si="250"/>
        <v>2.9377246499519043E-2</v>
      </c>
      <c r="AW157" s="16">
        <f t="shared" si="251"/>
        <v>3.5795945735322007E-2</v>
      </c>
    </row>
    <row r="158" spans="11:51">
      <c r="K158" s="6">
        <v>7</v>
      </c>
      <c r="L158" s="7">
        <f t="shared" si="252"/>
        <v>-0.15000000000000013</v>
      </c>
      <c r="M158" s="7">
        <f t="shared" si="231"/>
        <v>1.5572411502397439</v>
      </c>
      <c r="N158" s="7">
        <f t="shared" si="231"/>
        <v>1.656804152578089</v>
      </c>
      <c r="O158" s="13">
        <f t="shared" si="231"/>
        <v>1.7564168070250297</v>
      </c>
      <c r="P158" s="13">
        <f t="shared" si="231"/>
        <v>1.8560711193270587</v>
      </c>
      <c r="Q158" s="13">
        <f t="shared" si="231"/>
        <v>1.9557607215607946</v>
      </c>
      <c r="R158" s="13">
        <f t="shared" si="231"/>
        <v>2.0554804791094465</v>
      </c>
      <c r="S158" s="13">
        <f t="shared" si="231"/>
        <v>2.155226206225231</v>
      </c>
      <c r="T158" s="13">
        <f t="shared" si="231"/>
        <v>2.2549944567559361</v>
      </c>
      <c r="U158" s="13">
        <f t="shared" si="231"/>
        <v>2.3547823678633235</v>
      </c>
      <c r="V158" s="14">
        <f t="shared" si="231"/>
        <v>2.4545875417267156</v>
      </c>
      <c r="X158" s="43">
        <v>7</v>
      </c>
      <c r="Y158" s="15">
        <v>10</v>
      </c>
      <c r="Z158" s="15">
        <f t="shared" si="253"/>
        <v>7.5</v>
      </c>
      <c r="AA158" s="15">
        <f t="shared" si="232"/>
        <v>7.6599608354090165</v>
      </c>
      <c r="AB158" s="15">
        <f t="shared" si="233"/>
        <v>7.6808202686952649</v>
      </c>
      <c r="AC158" s="15">
        <f t="shared" si="234"/>
        <v>7.7029215236817778</v>
      </c>
      <c r="AD158" s="15">
        <f t="shared" si="235"/>
        <v>7.7262539435356379</v>
      </c>
      <c r="AE158" s="15">
        <f t="shared" si="236"/>
        <v>7.7508064096582885</v>
      </c>
      <c r="AF158" s="15">
        <f t="shared" si="237"/>
        <v>7.7765673661326948</v>
      </c>
      <c r="AG158" s="15">
        <f t="shared" si="238"/>
        <v>7.803524844581454</v>
      </c>
      <c r="AH158" s="15">
        <f t="shared" si="239"/>
        <v>7.8316664893239674</v>
      </c>
      <c r="AI158" s="15">
        <f t="shared" si="240"/>
        <v>7.8609795827237718</v>
      </c>
      <c r="AJ158" s="16">
        <f t="shared" si="241"/>
        <v>7.8914510706206622</v>
      </c>
      <c r="AL158" s="43">
        <v>10</v>
      </c>
      <c r="AM158" s="15">
        <f t="shared" si="254"/>
        <v>7.5</v>
      </c>
      <c r="AN158" s="15">
        <f t="shared" si="242"/>
        <v>-1.8912295359039474E-2</v>
      </c>
      <c r="AO158" s="15">
        <f t="shared" si="243"/>
        <v>-1.3340733041039408E-2</v>
      </c>
      <c r="AP158" s="15">
        <f t="shared" si="244"/>
        <v>-7.5779277293603108E-3</v>
      </c>
      <c r="AQ158" s="15">
        <f t="shared" si="245"/>
        <v>-1.649629517642951E-3</v>
      </c>
      <c r="AR158" s="15">
        <f t="shared" si="246"/>
        <v>4.418680251981842E-3</v>
      </c>
      <c r="AS158" s="15">
        <f t="shared" si="247"/>
        <v>1.0601862299959219E-2</v>
      </c>
      <c r="AT158" s="15">
        <f t="shared" si="248"/>
        <v>1.6875211898784555E-2</v>
      </c>
      <c r="AU158" s="15">
        <f t="shared" si="249"/>
        <v>2.3214559924538913E-2</v>
      </c>
      <c r="AV158" s="15">
        <f t="shared" si="250"/>
        <v>2.9596375525806663E-2</v>
      </c>
      <c r="AW158" s="16">
        <f t="shared" si="251"/>
        <v>3.599786577178303E-2</v>
      </c>
    </row>
    <row r="159" spans="11:51">
      <c r="K159" s="6">
        <v>8</v>
      </c>
      <c r="L159" s="7">
        <f t="shared" si="252"/>
        <v>-0.25000000000000011</v>
      </c>
      <c r="M159" s="7">
        <f t="shared" si="231"/>
        <v>1.5700318468107584</v>
      </c>
      <c r="N159" s="7">
        <f t="shared" si="231"/>
        <v>1.6688319268278635</v>
      </c>
      <c r="O159" s="13">
        <f t="shared" si="231"/>
        <v>1.7677669529663689</v>
      </c>
      <c r="P159" s="13">
        <f t="shared" si="231"/>
        <v>1.8668154702594471</v>
      </c>
      <c r="Q159" s="13">
        <f t="shared" si="231"/>
        <v>1.9659603251337499</v>
      </c>
      <c r="R159" s="13">
        <f t="shared" si="231"/>
        <v>2.0651876428063383</v>
      </c>
      <c r="S159" s="13">
        <f t="shared" si="231"/>
        <v>2.1644860821913365</v>
      </c>
      <c r="T159" s="13">
        <f t="shared" si="231"/>
        <v>2.2638462845343543</v>
      </c>
      <c r="U159" s="13">
        <f t="shared" si="231"/>
        <v>2.363260459619295</v>
      </c>
      <c r="V159" s="14">
        <f t="shared" si="231"/>
        <v>2.4627220712049507</v>
      </c>
      <c r="X159" s="43">
        <v>8</v>
      </c>
      <c r="Y159" s="15">
        <v>10</v>
      </c>
      <c r="Z159" s="15">
        <f t="shared" si="253"/>
        <v>7.5</v>
      </c>
      <c r="AA159" s="15">
        <f t="shared" si="232"/>
        <v>7.6625713699775746</v>
      </c>
      <c r="AB159" s="15">
        <f t="shared" si="233"/>
        <v>7.6834237160265992</v>
      </c>
      <c r="AC159" s="15">
        <f t="shared" si="234"/>
        <v>7.7055175037112207</v>
      </c>
      <c r="AD159" s="15">
        <f t="shared" si="235"/>
        <v>7.7288420866259129</v>
      </c>
      <c r="AE159" s="15">
        <f t="shared" si="236"/>
        <v>7.7533863569410757</v>
      </c>
      <c r="AF159" s="15">
        <f t="shared" si="237"/>
        <v>7.7791387698125041</v>
      </c>
      <c r="AG159" s="15">
        <f t="shared" si="238"/>
        <v>7.806087368201819</v>
      </c>
      <c r="AH159" s="15">
        <f t="shared" si="239"/>
        <v>7.8342198079961989</v>
      </c>
      <c r="AI159" s="15">
        <f t="shared" si="240"/>
        <v>7.8635233833187019</v>
      </c>
      <c r="AJ159" s="16">
        <f t="shared" si="241"/>
        <v>7.8939850519240284</v>
      </c>
      <c r="AL159" s="43">
        <v>10</v>
      </c>
      <c r="AM159" s="15">
        <f t="shared" si="254"/>
        <v>7.5</v>
      </c>
      <c r="AN159" s="15">
        <f t="shared" si="242"/>
        <v>-1.8058257165214395E-2</v>
      </c>
      <c r="AO159" s="15">
        <f t="shared" si="243"/>
        <v>-1.2562449206014738E-2</v>
      </c>
      <c r="AP159" s="15">
        <f t="shared" si="244"/>
        <v>-6.8657857705952969E-3</v>
      </c>
      <c r="AQ159" s="15">
        <f t="shared" si="245"/>
        <v>-9.959816388307439E-4</v>
      </c>
      <c r="AR159" s="15">
        <f t="shared" si="246"/>
        <v>5.020005234652106E-3</v>
      </c>
      <c r="AS159" s="15">
        <f t="shared" si="247"/>
        <v>1.1155912740825663E-2</v>
      </c>
      <c r="AT159" s="15">
        <f t="shared" si="248"/>
        <v>1.7386173488806899E-2</v>
      </c>
      <c r="AU159" s="15">
        <f t="shared" si="249"/>
        <v>2.3685949471172366E-2</v>
      </c>
      <c r="AV159" s="15">
        <f t="shared" si="250"/>
        <v>3.0031186915546144E-2</v>
      </c>
      <c r="AW159" s="16">
        <f t="shared" si="251"/>
        <v>3.639868099517788E-2</v>
      </c>
    </row>
    <row r="160" spans="11:51">
      <c r="K160" s="6">
        <v>9</v>
      </c>
      <c r="L160" s="7">
        <f t="shared" si="252"/>
        <v>-0.35000000000000009</v>
      </c>
      <c r="M160" s="7">
        <f t="shared" si="231"/>
        <v>1.5890248582070705</v>
      </c>
      <c r="N160" s="7">
        <f t="shared" si="231"/>
        <v>1.6867127793432999</v>
      </c>
      <c r="O160" s="13">
        <f t="shared" si="231"/>
        <v>1.7846568297574747</v>
      </c>
      <c r="P160" s="13">
        <f t="shared" si="231"/>
        <v>1.8828170383762732</v>
      </c>
      <c r="Q160" s="13">
        <f t="shared" si="231"/>
        <v>1.9811612756158949</v>
      </c>
      <c r="R160" s="13">
        <f t="shared" si="231"/>
        <v>2.0796634343085421</v>
      </c>
      <c r="S160" s="13">
        <f t="shared" si="231"/>
        <v>2.178302091079197</v>
      </c>
      <c r="T160" s="13">
        <f t="shared" si="231"/>
        <v>2.2770595073471402</v>
      </c>
      <c r="U160" s="13">
        <f t="shared" si="231"/>
        <v>2.3759208741033446</v>
      </c>
      <c r="V160" s="14">
        <f t="shared" si="231"/>
        <v>2.4748737341529168</v>
      </c>
      <c r="X160" s="43">
        <v>9</v>
      </c>
      <c r="Y160" s="15">
        <v>10</v>
      </c>
      <c r="Z160" s="15">
        <f t="shared" si="253"/>
        <v>7.5</v>
      </c>
      <c r="AA160" s="15">
        <f t="shared" si="232"/>
        <v>7.6664855051059737</v>
      </c>
      <c r="AB160" s="15">
        <f t="shared" si="233"/>
        <v>7.6873272338310148</v>
      </c>
      <c r="AC160" s="15">
        <f t="shared" si="234"/>
        <v>7.709409834740919</v>
      </c>
      <c r="AD160" s="15">
        <f t="shared" si="235"/>
        <v>7.7327226770394395</v>
      </c>
      <c r="AE160" s="15">
        <f t="shared" si="236"/>
        <v>7.7572546690178994</v>
      </c>
      <c r="AF160" s="15">
        <f t="shared" si="237"/>
        <v>7.7829942824082821</v>
      </c>
      <c r="AG160" s="15">
        <f t="shared" si="238"/>
        <v>7.8099295771472876</v>
      </c>
      <c r="AH160" s="15">
        <f t="shared" si="239"/>
        <v>7.8380482264400495</v>
      </c>
      <c r="AI160" s="15">
        <f t="shared" si="240"/>
        <v>7.8673375420150879</v>
      </c>
      <c r="AJ160" s="16">
        <f t="shared" si="241"/>
        <v>7.897784499465657</v>
      </c>
      <c r="AL160" s="43">
        <v>10</v>
      </c>
      <c r="AM160" s="15">
        <f t="shared" si="254"/>
        <v>7.5</v>
      </c>
      <c r="AN160" s="15">
        <f t="shared" si="242"/>
        <v>-1.6809434324046676E-2</v>
      </c>
      <c r="AO160" s="15">
        <f t="shared" si="243"/>
        <v>-1.1421226380077438E-2</v>
      </c>
      <c r="AP160" s="15">
        <f t="shared" si="244"/>
        <v>-5.8191827342818601E-3</v>
      </c>
      <c r="AQ160" s="15">
        <f t="shared" si="245"/>
        <v>-3.356112423934622E-5</v>
      </c>
      <c r="AR160" s="15">
        <f t="shared" si="246"/>
        <v>5.906742478214628E-3</v>
      </c>
      <c r="AS160" s="15">
        <f t="shared" si="247"/>
        <v>1.1973975207278432E-2</v>
      </c>
      <c r="AT160" s="15">
        <f t="shared" si="248"/>
        <v>1.8141413292480434E-2</v>
      </c>
      <c r="AU160" s="15">
        <f t="shared" si="249"/>
        <v>2.4383314871139622E-2</v>
      </c>
      <c r="AV160" s="15">
        <f t="shared" si="250"/>
        <v>3.0674914757741308E-2</v>
      </c>
      <c r="AW160" s="16">
        <f t="shared" si="251"/>
        <v>3.6992444540879806E-2</v>
      </c>
    </row>
    <row r="161" spans="11:49">
      <c r="K161" s="8">
        <v>10</v>
      </c>
      <c r="L161" s="9">
        <f t="shared" si="252"/>
        <v>-0.45000000000000007</v>
      </c>
      <c r="M161" s="9">
        <f t="shared" si="231"/>
        <v>1.6140012391568974</v>
      </c>
      <c r="N161" s="9">
        <f t="shared" si="231"/>
        <v>1.710263137648707</v>
      </c>
      <c r="O161" s="17">
        <f t="shared" si="231"/>
        <v>1.8069310999592652</v>
      </c>
      <c r="P161" s="17">
        <f t="shared" si="231"/>
        <v>1.9039432764659772</v>
      </c>
      <c r="Q161" s="17">
        <f t="shared" si="231"/>
        <v>2.00124960961895</v>
      </c>
      <c r="R161" s="17">
        <f t="shared" si="231"/>
        <v>2.0988091861815357</v>
      </c>
      <c r="S161" s="17">
        <f t="shared" si="231"/>
        <v>2.1965882636488798</v>
      </c>
      <c r="T161" s="17">
        <f t="shared" si="231"/>
        <v>2.2945587811167529</v>
      </c>
      <c r="U161" s="17">
        <f t="shared" si="231"/>
        <v>2.3926972228010799</v>
      </c>
      <c r="V161" s="18">
        <f t="shared" si="231"/>
        <v>2.4909837414162301</v>
      </c>
      <c r="X161" s="44">
        <v>10</v>
      </c>
      <c r="Y161" s="23">
        <v>10</v>
      </c>
      <c r="Z161" s="23">
        <f t="shared" si="253"/>
        <v>7.5</v>
      </c>
      <c r="AA161" s="23">
        <f t="shared" si="232"/>
        <v>7.6717012454865579</v>
      </c>
      <c r="AB161" s="23">
        <f t="shared" si="233"/>
        <v>7.6925288429748511</v>
      </c>
      <c r="AC161" s="23">
        <f t="shared" si="234"/>
        <v>7.7145965545840438</v>
      </c>
      <c r="AD161" s="23">
        <f t="shared" si="235"/>
        <v>7.7378937702710804</v>
      </c>
      <c r="AE161" s="23">
        <f t="shared" si="236"/>
        <v>7.7624094197613669</v>
      </c>
      <c r="AF161" s="23">
        <f t="shared" si="237"/>
        <v>7.7881319968269667</v>
      </c>
      <c r="AG161" s="23">
        <f t="shared" si="238"/>
        <v>7.815049583975779</v>
      </c>
      <c r="AH161" s="23">
        <f t="shared" si="239"/>
        <v>7.8431498774408235</v>
      </c>
      <c r="AI161" s="23">
        <f t="shared" si="240"/>
        <v>7.872420212361634</v>
      </c>
      <c r="AJ161" s="24">
        <f t="shared" si="241"/>
        <v>7.9028475880533087</v>
      </c>
      <c r="AL161" s="44">
        <v>10</v>
      </c>
      <c r="AM161" s="23">
        <f t="shared" si="254"/>
        <v>7.5</v>
      </c>
      <c r="AN161" s="23">
        <f t="shared" si="242"/>
        <v>-1.5201393056435477E-2</v>
      </c>
      <c r="AO161" s="23">
        <f t="shared" si="243"/>
        <v>-9.9462815508561744E-3</v>
      </c>
      <c r="AP161" s="23">
        <f t="shared" si="244"/>
        <v>-4.4624254362790172E-3</v>
      </c>
      <c r="AQ161" s="23">
        <f t="shared" si="245"/>
        <v>1.2171792864073625E-3</v>
      </c>
      <c r="AR161" s="23">
        <f t="shared" si="246"/>
        <v>7.0615065884325097E-3</v>
      </c>
      <c r="AS161" s="23">
        <f t="shared" si="247"/>
        <v>1.3041137298354807E-2</v>
      </c>
      <c r="AT161" s="23">
        <f t="shared" si="248"/>
        <v>1.9128036932184858E-2</v>
      </c>
      <c r="AU161" s="23">
        <f t="shared" si="249"/>
        <v>2.5295427153219405E-2</v>
      </c>
      <c r="AV161" s="23">
        <f t="shared" si="250"/>
        <v>3.1517718983648892E-2</v>
      </c>
      <c r="AW161" s="24">
        <f t="shared" si="251"/>
        <v>3.7770486009331215E-2</v>
      </c>
    </row>
  </sheetData>
  <mergeCells count="3">
    <mergeCell ref="G3:J3"/>
    <mergeCell ref="A22:C22"/>
    <mergeCell ref="G2:J2"/>
  </mergeCells>
  <dataValidations count="1">
    <dataValidation type="list" allowBlank="1" showInputMessage="1" showErrorMessage="1" sqref="B4">
      <formula1>"Point, Line, Strip, Area"</formula1>
    </dataValidation>
  </dataValidations>
  <pageMargins left="0.7" right="0.7" top="0.75" bottom="0.75" header="0.3" footer="0.3"/>
  <pageSetup scale="52" orientation="portrait" horizontalDpi="4294967293" r:id="rId1"/>
  <headerFooter>
    <oddFooter>&amp;LOffset Surcharge by Elastic Methods (Bousinessq)</oddFooter>
  </headerFooter>
  <rowBreaks count="3" manualBreakCount="3">
    <brk id="22" max="16383" man="1"/>
    <brk id="64" max="16383" man="1"/>
    <brk id="119" max="16383" man="1"/>
  </rowBreaks>
  <colBreaks count="3" manualBreakCount="3">
    <brk id="9" max="1048575" man="1"/>
    <brk id="22" max="1048575" man="1"/>
    <brk id="37" max="1048575" man="1"/>
  </colBreaks>
  <drawing r:id="rId2"/>
</worksheet>
</file>

<file path=xl/worksheets/sheet10.xml><?xml version="1.0" encoding="utf-8"?>
<worksheet xmlns="http://schemas.openxmlformats.org/spreadsheetml/2006/main" xmlns:r="http://schemas.openxmlformats.org/officeDocument/2006/relationships">
  <dimension ref="A1:D30"/>
  <sheetViews>
    <sheetView workbookViewId="0">
      <selection activeCell="A10" sqref="A10"/>
    </sheetView>
  </sheetViews>
  <sheetFormatPr defaultRowHeight="15"/>
  <cols>
    <col min="1" max="1" width="31" customWidth="1"/>
    <col min="2" max="2" width="17.85546875" customWidth="1"/>
    <col min="3" max="3" width="19" customWidth="1"/>
    <col min="4" max="4" width="25.42578125" customWidth="1"/>
  </cols>
  <sheetData>
    <row r="1" spans="1:4">
      <c r="A1" s="108" t="s">
        <v>243</v>
      </c>
      <c r="B1" s="125" t="s">
        <v>244</v>
      </c>
      <c r="C1" s="107"/>
      <c r="D1" s="106"/>
    </row>
    <row r="2" spans="1:4">
      <c r="A2" s="90" t="s">
        <v>245</v>
      </c>
      <c r="B2" s="126" t="s">
        <v>148</v>
      </c>
      <c r="C2" s="69"/>
      <c r="D2" s="88"/>
    </row>
    <row r="3" spans="1:4">
      <c r="A3" s="123" t="s">
        <v>219</v>
      </c>
      <c r="B3" s="124">
        <v>4</v>
      </c>
      <c r="C3" s="66"/>
      <c r="D3" s="65"/>
    </row>
    <row r="4" spans="1:4">
      <c r="A4" s="113" t="s">
        <v>220</v>
      </c>
      <c r="B4" s="114">
        <v>1888</v>
      </c>
      <c r="C4" s="31"/>
      <c r="D4" s="32"/>
    </row>
    <row r="5" spans="1:4">
      <c r="A5" s="113" t="s">
        <v>307</v>
      </c>
      <c r="B5" s="114">
        <v>5.5</v>
      </c>
      <c r="C5" s="31"/>
      <c r="D5" s="32"/>
    </row>
    <row r="6" spans="1:4">
      <c r="A6" s="113" t="s">
        <v>221</v>
      </c>
      <c r="B6" s="114">
        <v>12</v>
      </c>
      <c r="C6" s="31"/>
      <c r="D6" s="32"/>
    </row>
    <row r="7" spans="1:4">
      <c r="A7" s="113" t="s">
        <v>222</v>
      </c>
      <c r="B7" s="114">
        <v>2.9</v>
      </c>
      <c r="C7" s="31" t="s">
        <v>223</v>
      </c>
      <c r="D7" s="32"/>
    </row>
    <row r="8" spans="1:4">
      <c r="A8" s="113" t="s">
        <v>224</v>
      </c>
      <c r="B8" s="114">
        <v>48</v>
      </c>
      <c r="C8" s="31"/>
      <c r="D8" s="32"/>
    </row>
    <row r="9" spans="1:4">
      <c r="A9" s="92"/>
      <c r="B9" s="114"/>
      <c r="C9" s="31"/>
      <c r="D9" s="32"/>
    </row>
    <row r="10" spans="1:4">
      <c r="A10" s="115" t="s">
        <v>225</v>
      </c>
      <c r="B10" s="114"/>
      <c r="C10" s="31" t="s">
        <v>226</v>
      </c>
      <c r="D10" s="32"/>
    </row>
    <row r="11" spans="1:4">
      <c r="A11" s="115"/>
      <c r="B11" s="114"/>
      <c r="C11" s="31" t="s">
        <v>227</v>
      </c>
      <c r="D11" s="32" t="str">
        <f>IF(B6&gt;B5,"YES, CONTLS NO INFL.","NO DOESN'T CONTL")</f>
        <v>YES, CONTLS NO INFL.</v>
      </c>
    </row>
    <row r="12" spans="1:4">
      <c r="A12" s="92" t="s">
        <v>228</v>
      </c>
      <c r="B12" s="114">
        <f>0.3*B5</f>
        <v>1.65</v>
      </c>
      <c r="C12" s="31" t="s">
        <v>229</v>
      </c>
      <c r="D12" s="32" t="str">
        <f>IF(B6&lt;B12,"YES, CONTLS USE FULL SRCHGE","NO DOESN'T CONTL")</f>
        <v>NO DOESN'T CONTL</v>
      </c>
    </row>
    <row r="13" spans="1:4">
      <c r="A13" s="92"/>
      <c r="B13" s="114"/>
      <c r="C13" s="31" t="s">
        <v>230</v>
      </c>
      <c r="D13" s="32" t="str">
        <f>IF(B6&lt;B12,"NO DOESN'T CONTL",IF(B6&gt;B5,"NO, DOSEN'T CONTL","YES USE PERCENT"))</f>
        <v>NO, DOSEN'T CONTL</v>
      </c>
    </row>
    <row r="14" spans="1:4">
      <c r="A14" s="92"/>
      <c r="B14" s="114"/>
      <c r="C14" s="31"/>
      <c r="D14" s="32"/>
    </row>
    <row r="15" spans="1:4">
      <c r="A15" s="92"/>
      <c r="B15" s="114" t="s">
        <v>231</v>
      </c>
      <c r="C15" s="114" t="s">
        <v>232</v>
      </c>
      <c r="D15" s="116" t="str">
        <f>IF(B5&lt;=B6,"USE: no influence",IF(B12&gt;B6,"USE: Full Surcharge","USE: Percentage"))</f>
        <v>USE: no influence</v>
      </c>
    </row>
    <row r="16" spans="1:4">
      <c r="A16" s="92" t="s">
        <v>233</v>
      </c>
      <c r="B16" s="39">
        <f>((B5-B6)/B5)</f>
        <v>-1.1818181818181819</v>
      </c>
      <c r="C16" s="114">
        <f>((B5-B6)/B5)*(B4)</f>
        <v>-2231.2727272727275</v>
      </c>
      <c r="D16" s="116" t="str">
        <f>IF(B5&lt;B6,"no influence",IF(B12&gt;B6,B4,C16))</f>
        <v>no influence</v>
      </c>
    </row>
    <row r="17" spans="1:4">
      <c r="A17" s="92" t="s">
        <v>234</v>
      </c>
      <c r="B17" s="117" t="str">
        <f>D16</f>
        <v>no influence</v>
      </c>
      <c r="C17" s="114"/>
      <c r="D17" s="116"/>
    </row>
    <row r="18" spans="1:4">
      <c r="A18" s="92"/>
      <c r="B18" s="114"/>
      <c r="C18" s="114"/>
      <c r="D18" s="116"/>
    </row>
    <row r="19" spans="1:4">
      <c r="A19" s="92"/>
      <c r="B19" s="114"/>
      <c r="C19" s="39"/>
      <c r="D19" s="32"/>
    </row>
    <row r="20" spans="1:4">
      <c r="A20" s="115" t="s">
        <v>235</v>
      </c>
      <c r="B20" s="114"/>
      <c r="C20" s="31" t="s">
        <v>226</v>
      </c>
      <c r="D20" s="32"/>
    </row>
    <row r="21" spans="1:4">
      <c r="A21" s="92" t="s">
        <v>236</v>
      </c>
      <c r="B21" s="114">
        <f>(B3+B6/B7)/TAN(RADIANS(B8))</f>
        <v>7.3274260156651785</v>
      </c>
      <c r="C21" s="31"/>
      <c r="D21" s="32"/>
    </row>
    <row r="22" spans="1:4">
      <c r="A22" s="92" t="s">
        <v>237</v>
      </c>
      <c r="B22" s="114">
        <f>B5+B21</f>
        <v>12.827426015665178</v>
      </c>
      <c r="C22" s="31" t="s">
        <v>238</v>
      </c>
      <c r="D22" s="32" t="str">
        <f>IF(B22&lt;B6,"YES, CONTROLS, NO INFLUENCE","NO, DOESN'T CONTRL")</f>
        <v>NO, DOESN'T CONTRL</v>
      </c>
    </row>
    <row r="23" spans="1:4">
      <c r="A23" s="92" t="s">
        <v>239</v>
      </c>
      <c r="B23" s="114">
        <f>B5+0.5*B21</f>
        <v>9.1637130078325892</v>
      </c>
      <c r="C23" s="31" t="s">
        <v>240</v>
      </c>
      <c r="D23" s="32" t="str">
        <f>IF(B22&lt;B21,"NO, DOESN'T CONTRL",IF(B23&gt;B6,"YES, USE FULL SURCH","NO, DOESN'T CONTRL"))</f>
        <v>NO, DOESN'T CONTRL</v>
      </c>
    </row>
    <row r="24" spans="1:4">
      <c r="A24" s="92"/>
      <c r="B24" s="114"/>
      <c r="C24" s="31" t="s">
        <v>241</v>
      </c>
      <c r="D24" s="32" t="str">
        <f>IF(B22&lt;B6,"DOES NOT CONTROL",IF(B23&gt;B6,"NO,DOESN'T CONTRL","YES, USE PERCENT"))</f>
        <v>YES, USE PERCENT</v>
      </c>
    </row>
    <row r="25" spans="1:4">
      <c r="A25" s="92"/>
      <c r="B25" s="114"/>
      <c r="C25" s="31"/>
      <c r="D25" s="32"/>
    </row>
    <row r="26" spans="1:4">
      <c r="A26" s="92"/>
      <c r="B26" s="114" t="s">
        <v>231</v>
      </c>
      <c r="C26" s="114" t="s">
        <v>232</v>
      </c>
      <c r="D26" s="116" t="str">
        <f>IF(B23&gt;B6,"USE FULL SRCHGE",IF(B22&lt;B6,"NO INFLUENCE","USE:PERCENTAGE"))</f>
        <v>USE:PERCENTAGE</v>
      </c>
    </row>
    <row r="27" spans="1:4">
      <c r="A27" s="92" t="s">
        <v>233</v>
      </c>
      <c r="B27" s="39">
        <f>((B5+B21-B6)/B21)</f>
        <v>0.11292178370634362</v>
      </c>
      <c r="C27" s="114">
        <f>(B27*(B4))</f>
        <v>213.19632763757676</v>
      </c>
      <c r="D27" s="116">
        <f>IF(B22&lt;B6,"no influence",IF(B23&gt;B6,B4,C27))</f>
        <v>213.19632763757676</v>
      </c>
    </row>
    <row r="28" spans="1:4">
      <c r="A28" s="92" t="s">
        <v>234</v>
      </c>
      <c r="B28" s="117">
        <f>D27</f>
        <v>213.19632763757676</v>
      </c>
      <c r="C28" s="114"/>
      <c r="D28" s="118"/>
    </row>
    <row r="29" spans="1:4">
      <c r="A29" s="92"/>
      <c r="B29" s="114"/>
      <c r="C29" s="114"/>
      <c r="D29" s="118"/>
    </row>
    <row r="30" spans="1:4">
      <c r="A30" s="119" t="s">
        <v>242</v>
      </c>
      <c r="B30" s="120"/>
      <c r="C30" s="121"/>
      <c r="D30" s="122"/>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Z183"/>
  <sheetViews>
    <sheetView zoomScale="70" zoomScaleNormal="70" zoomScaleSheetLayoutView="85" zoomScalePageLayoutView="70" workbookViewId="0">
      <selection activeCell="B8" sqref="B8"/>
    </sheetView>
  </sheetViews>
  <sheetFormatPr defaultRowHeight="15"/>
  <cols>
    <col min="1" max="1" width="30.5703125" style="1" customWidth="1"/>
    <col min="2" max="3" width="10.140625" style="1" customWidth="1"/>
    <col min="4" max="4" width="17.140625" style="1" customWidth="1"/>
    <col min="5" max="5" width="9.7109375" style="10" customWidth="1"/>
    <col min="6" max="6" width="7.85546875" style="10" customWidth="1"/>
    <col min="7" max="7" width="15" style="2" customWidth="1"/>
    <col min="8" max="8" width="10.28515625" style="2" customWidth="1"/>
    <col min="9" max="9" width="9.85546875" style="2" customWidth="1"/>
    <col min="10" max="11" width="7.85546875" style="2" customWidth="1"/>
    <col min="12" max="12" width="8.7109375" style="2" customWidth="1"/>
    <col min="13" max="13" width="7.85546875" style="2" customWidth="1"/>
    <col min="14" max="14" width="10.28515625" style="2" customWidth="1"/>
    <col min="15" max="15" width="11" style="2" customWidth="1"/>
    <col min="16" max="36" width="7.85546875" style="2" customWidth="1"/>
    <col min="37" max="37" width="5.5703125" style="2" bestFit="1" customWidth="1"/>
    <col min="38" max="38" width="11.5703125" style="2" customWidth="1"/>
    <col min="39" max="39" width="12.140625" style="2" customWidth="1"/>
    <col min="40" max="40" width="9.42578125" style="2" customWidth="1"/>
    <col min="41" max="70" width="7.85546875" style="2" customWidth="1"/>
    <col min="71" max="179" width="9.140625" style="2"/>
  </cols>
  <sheetData>
    <row r="1" spans="1:182">
      <c r="A1" s="46" t="s">
        <v>148</v>
      </c>
      <c r="B1" s="47"/>
      <c r="C1" s="47"/>
      <c r="D1" s="47"/>
      <c r="E1" s="29"/>
    </row>
    <row r="2" spans="1:182">
      <c r="A2" s="35"/>
      <c r="B2" s="38"/>
      <c r="C2" s="38"/>
      <c r="D2" s="38"/>
      <c r="E2" s="48"/>
      <c r="G2" s="157" t="s">
        <v>208</v>
      </c>
      <c r="H2" s="157"/>
      <c r="I2" s="157"/>
      <c r="J2" s="157"/>
      <c r="K2" s="157"/>
      <c r="FX2" s="2"/>
    </row>
    <row r="3" spans="1:182">
      <c r="A3" s="33" t="s">
        <v>267</v>
      </c>
      <c r="B3" s="49" t="s">
        <v>213</v>
      </c>
      <c r="C3" s="38"/>
      <c r="D3" s="38"/>
      <c r="E3" s="48"/>
      <c r="F3" s="1"/>
      <c r="G3" s="157" t="s">
        <v>207</v>
      </c>
      <c r="H3" s="157"/>
      <c r="I3" s="157"/>
      <c r="J3" s="157"/>
      <c r="K3" s="157"/>
      <c r="FX3" s="2"/>
      <c r="FY3" s="2"/>
    </row>
    <row r="4" spans="1:182">
      <c r="A4" s="33" t="s">
        <v>0</v>
      </c>
      <c r="B4" s="49">
        <v>1790</v>
      </c>
      <c r="C4" s="49" t="s">
        <v>1</v>
      </c>
      <c r="D4" s="49"/>
      <c r="E4" s="50"/>
      <c r="F4" s="1"/>
      <c r="FX4" s="2"/>
      <c r="FY4" s="2"/>
      <c r="FZ4" s="2"/>
    </row>
    <row r="5" spans="1:182">
      <c r="A5" s="33" t="s">
        <v>7</v>
      </c>
      <c r="B5" s="49">
        <v>7.5</v>
      </c>
      <c r="C5" s="49" t="s">
        <v>2</v>
      </c>
      <c r="D5" s="49"/>
      <c r="E5" s="50"/>
      <c r="F5" s="1"/>
      <c r="G5" s="55" t="s">
        <v>285</v>
      </c>
      <c r="H5" s="25"/>
      <c r="I5" s="20"/>
      <c r="J5" s="56"/>
      <c r="FX5" s="2"/>
      <c r="FY5" s="2"/>
      <c r="FZ5" s="2"/>
    </row>
    <row r="6" spans="1:182" ht="29.25" customHeight="1">
      <c r="A6" s="33" t="s">
        <v>277</v>
      </c>
      <c r="B6" s="49">
        <v>2</v>
      </c>
      <c r="C6" s="49" t="s">
        <v>2</v>
      </c>
      <c r="D6" s="34" t="s">
        <v>140</v>
      </c>
      <c r="E6" s="48">
        <f>IF(OR(B3="Point",B3="Line"),B6-0.5,B6)</f>
        <v>2</v>
      </c>
      <c r="G6" s="55" t="s">
        <v>281</v>
      </c>
      <c r="H6" s="25">
        <f>I25</f>
        <v>340.92087844481921</v>
      </c>
      <c r="I6" s="154" t="s">
        <v>287</v>
      </c>
      <c r="J6" s="56"/>
      <c r="FX6" s="2"/>
      <c r="FY6" s="2"/>
      <c r="FZ6" s="2"/>
    </row>
    <row r="7" spans="1:182" ht="33.75" customHeight="1">
      <c r="A7" s="33" t="s">
        <v>9</v>
      </c>
      <c r="B7" s="49">
        <v>6</v>
      </c>
      <c r="C7" s="49" t="s">
        <v>2</v>
      </c>
      <c r="D7" s="38" t="s">
        <v>146</v>
      </c>
      <c r="E7" s="48">
        <f>B6+B7</f>
        <v>8</v>
      </c>
      <c r="F7" s="1"/>
      <c r="G7" s="22" t="s">
        <v>286</v>
      </c>
      <c r="H7" s="23">
        <f>J25</f>
        <v>4.5441633551818139</v>
      </c>
      <c r="I7" s="153" t="s">
        <v>2</v>
      </c>
      <c r="J7" s="56"/>
      <c r="FX7" s="2"/>
      <c r="FY7" s="2"/>
      <c r="FZ7" s="2"/>
    </row>
    <row r="8" spans="1:182" ht="30">
      <c r="A8" s="33" t="s">
        <v>142</v>
      </c>
      <c r="B8" s="49">
        <v>0.33300000000000002</v>
      </c>
      <c r="C8" s="49" t="s">
        <v>147</v>
      </c>
      <c r="D8" s="34" t="s">
        <v>138</v>
      </c>
      <c r="E8" s="51">
        <f>B8/(1-B8)</f>
        <v>0.49925037481259371</v>
      </c>
      <c r="F8" s="1"/>
      <c r="J8" s="56"/>
      <c r="FX8" s="2"/>
      <c r="FY8" s="2"/>
      <c r="FZ8" s="2"/>
    </row>
    <row r="9" spans="1:182" ht="30">
      <c r="A9" s="52" t="s">
        <v>141</v>
      </c>
      <c r="B9" s="34">
        <f>IF(OR(B3="Point",B3="Area"),B8,E8)</f>
        <v>0.49925037481259371</v>
      </c>
      <c r="C9" s="38"/>
      <c r="D9" s="34"/>
      <c r="E9" s="51"/>
      <c r="F9" s="3"/>
      <c r="J9" s="56"/>
      <c r="FX9" s="2"/>
      <c r="FY9" s="2"/>
      <c r="FZ9" s="2"/>
    </row>
    <row r="10" spans="1:182">
      <c r="A10" s="35"/>
      <c r="B10" s="49"/>
      <c r="C10" s="28"/>
      <c r="D10" s="28"/>
      <c r="E10" s="30"/>
      <c r="F10" s="3"/>
      <c r="J10" s="56"/>
      <c r="FX10" s="2"/>
      <c r="FY10" s="2"/>
      <c r="FZ10" s="2"/>
    </row>
    <row r="11" spans="1:182" ht="30">
      <c r="A11" s="35" t="s">
        <v>11</v>
      </c>
      <c r="B11" s="49">
        <v>30</v>
      </c>
      <c r="C11" s="34" t="s">
        <v>136</v>
      </c>
      <c r="D11" s="34"/>
      <c r="E11" s="51"/>
      <c r="F11" s="3"/>
      <c r="J11" s="56"/>
      <c r="FX11" s="2"/>
      <c r="FY11" s="2"/>
      <c r="FZ11" s="2"/>
    </row>
    <row r="12" spans="1:182" ht="30">
      <c r="A12" s="35" t="s">
        <v>12</v>
      </c>
      <c r="B12" s="49">
        <v>30</v>
      </c>
      <c r="C12" s="34" t="s">
        <v>136</v>
      </c>
      <c r="D12" s="34"/>
      <c r="E12" s="51"/>
      <c r="F12" s="1"/>
      <c r="J12" s="56"/>
      <c r="FX12" s="2"/>
      <c r="FY12" s="2"/>
      <c r="FZ12" s="2"/>
    </row>
    <row r="13" spans="1:182" ht="30">
      <c r="A13" s="35" t="s">
        <v>13</v>
      </c>
      <c r="B13" s="49">
        <v>30</v>
      </c>
      <c r="C13" s="38" t="s">
        <v>136</v>
      </c>
      <c r="D13" s="38"/>
      <c r="E13" s="48"/>
      <c r="F13" s="1"/>
      <c r="J13" s="56"/>
      <c r="FX13" s="2"/>
      <c r="FY13" s="2"/>
      <c r="FZ13" s="2"/>
    </row>
    <row r="14" spans="1:182">
      <c r="A14" s="35"/>
      <c r="B14" s="38"/>
      <c r="C14" s="38"/>
      <c r="D14" s="38"/>
      <c r="E14" s="48"/>
      <c r="F14" s="1"/>
      <c r="J14" s="56"/>
      <c r="FX14" s="2"/>
      <c r="FY14" s="2"/>
      <c r="FZ14" s="2"/>
    </row>
    <row r="15" spans="1:182">
      <c r="A15" s="35" t="s">
        <v>14</v>
      </c>
      <c r="B15" s="38">
        <f>B7/B11</f>
        <v>0.2</v>
      </c>
      <c r="C15" s="38" t="s">
        <v>2</v>
      </c>
      <c r="D15" s="38"/>
      <c r="E15" s="48"/>
      <c r="F15" s="1"/>
      <c r="FX15" s="2"/>
      <c r="FY15" s="2"/>
      <c r="FZ15" s="2"/>
    </row>
    <row r="16" spans="1:182">
      <c r="A16" s="35" t="s">
        <v>16</v>
      </c>
      <c r="B16" s="38">
        <f>B5/B12</f>
        <v>0.25</v>
      </c>
      <c r="C16" s="38" t="s">
        <v>2</v>
      </c>
      <c r="D16" s="38"/>
      <c r="E16" s="48"/>
      <c r="F16" s="1"/>
      <c r="G16" s="10"/>
      <c r="H16" s="10"/>
      <c r="I16" s="10"/>
      <c r="FX16" s="2"/>
      <c r="FY16" s="2"/>
    </row>
    <row r="17" spans="1:181">
      <c r="A17" s="35" t="s">
        <v>269</v>
      </c>
      <c r="B17" s="38">
        <f>B4*B15</f>
        <v>358</v>
      </c>
      <c r="C17" s="38" t="s">
        <v>144</v>
      </c>
      <c r="D17" s="38"/>
      <c r="E17" s="30"/>
      <c r="G17" s="10"/>
      <c r="H17" s="10"/>
      <c r="I17" s="10"/>
      <c r="FX17" s="2"/>
      <c r="FY17" s="2"/>
    </row>
    <row r="18" spans="1:181">
      <c r="A18" s="111"/>
      <c r="B18" s="71"/>
      <c r="C18" s="71"/>
      <c r="D18" s="71"/>
      <c r="E18" s="112"/>
      <c r="G18" s="10"/>
      <c r="H18" s="10"/>
      <c r="I18" s="10"/>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row>
    <row r="19" spans="1:181">
      <c r="A19" s="158" t="s">
        <v>209</v>
      </c>
      <c r="B19" s="159"/>
      <c r="C19" s="160"/>
      <c r="D19" s="54"/>
      <c r="E19" s="40"/>
      <c r="G19" s="10"/>
      <c r="H19" s="10"/>
      <c r="I19" s="10"/>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row>
    <row r="20" spans="1:181" ht="30">
      <c r="A20" s="144" t="s">
        <v>278</v>
      </c>
      <c r="B20" s="145"/>
      <c r="C20" s="145"/>
      <c r="D20" s="7"/>
      <c r="E20" s="13"/>
      <c r="G20" s="10"/>
      <c r="H20" s="10"/>
      <c r="I20" s="1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row>
    <row r="21" spans="1:181">
      <c r="A21" s="144"/>
      <c r="B21" s="145"/>
      <c r="C21" s="145"/>
      <c r="D21" s="7"/>
      <c r="E21" s="13"/>
      <c r="G21" s="10"/>
      <c r="H21" s="10"/>
      <c r="I21" s="10"/>
      <c r="AN21" s="147"/>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row>
    <row r="22" spans="1:181" ht="30">
      <c r="K22"/>
      <c r="L22" s="19"/>
      <c r="M22" s="11"/>
      <c r="N22" s="11" t="s">
        <v>270</v>
      </c>
      <c r="O22" s="11" t="s">
        <v>272</v>
      </c>
      <c r="P22" s="11">
        <f>L25*B16</f>
        <v>0</v>
      </c>
      <c r="Q22" s="11">
        <f>L26*B16</f>
        <v>0.25</v>
      </c>
      <c r="R22" s="25">
        <v>2</v>
      </c>
      <c r="S22" s="11">
        <v>3</v>
      </c>
      <c r="T22" s="11">
        <v>4</v>
      </c>
      <c r="U22" s="11">
        <v>5</v>
      </c>
      <c r="V22" s="25">
        <v>6</v>
      </c>
      <c r="W22" s="11">
        <v>7</v>
      </c>
      <c r="X22" s="11">
        <v>8</v>
      </c>
      <c r="Y22" s="11">
        <v>9</v>
      </c>
      <c r="Z22" s="25">
        <v>10</v>
      </c>
      <c r="AA22" s="11">
        <v>11</v>
      </c>
      <c r="AB22" s="11">
        <v>12</v>
      </c>
      <c r="AC22" s="11">
        <v>13</v>
      </c>
      <c r="AD22" s="25">
        <v>14</v>
      </c>
      <c r="AE22" s="11">
        <v>15</v>
      </c>
      <c r="AF22" s="11">
        <v>16</v>
      </c>
      <c r="AG22" s="11">
        <v>17</v>
      </c>
      <c r="AH22" s="25">
        <v>18</v>
      </c>
      <c r="AI22" s="11">
        <v>19</v>
      </c>
      <c r="AJ22" s="11">
        <v>20</v>
      </c>
      <c r="AK22" s="11">
        <v>21</v>
      </c>
      <c r="AL22" s="25">
        <v>22</v>
      </c>
      <c r="AM22" s="11">
        <v>23</v>
      </c>
      <c r="AN22" s="11">
        <v>24</v>
      </c>
      <c r="AO22" s="11">
        <v>25</v>
      </c>
      <c r="AP22" s="25">
        <v>26</v>
      </c>
      <c r="AQ22" s="11">
        <v>27</v>
      </c>
      <c r="AR22" s="11">
        <v>28</v>
      </c>
      <c r="AS22" s="11">
        <v>29</v>
      </c>
      <c r="AT22" s="20">
        <v>30</v>
      </c>
      <c r="AV22" s="55" t="str">
        <f t="shared" ref="AV22:AW37" si="0">N22</f>
        <v>z segment</v>
      </c>
      <c r="AW22" s="25" t="str">
        <f t="shared" si="0"/>
        <v>x=r segment -&gt;</v>
      </c>
      <c r="AX22" s="25">
        <f>P22</f>
        <v>0</v>
      </c>
      <c r="AY22" s="25">
        <f t="shared" ref="AY22:CB22" si="1">Q22</f>
        <v>0.25</v>
      </c>
      <c r="AZ22" s="25">
        <f t="shared" si="1"/>
        <v>2</v>
      </c>
      <c r="BA22" s="25">
        <f t="shared" si="1"/>
        <v>3</v>
      </c>
      <c r="BB22" s="25">
        <f t="shared" si="1"/>
        <v>4</v>
      </c>
      <c r="BC22" s="25">
        <f t="shared" si="1"/>
        <v>5</v>
      </c>
      <c r="BD22" s="25">
        <f t="shared" si="1"/>
        <v>6</v>
      </c>
      <c r="BE22" s="25">
        <f t="shared" si="1"/>
        <v>7</v>
      </c>
      <c r="BF22" s="25">
        <f t="shared" si="1"/>
        <v>8</v>
      </c>
      <c r="BG22" s="25">
        <f t="shared" si="1"/>
        <v>9</v>
      </c>
      <c r="BH22" s="25">
        <f t="shared" si="1"/>
        <v>10</v>
      </c>
      <c r="BI22" s="25">
        <f t="shared" si="1"/>
        <v>11</v>
      </c>
      <c r="BJ22" s="25">
        <f t="shared" si="1"/>
        <v>12</v>
      </c>
      <c r="BK22" s="25">
        <f t="shared" si="1"/>
        <v>13</v>
      </c>
      <c r="BL22" s="25">
        <f t="shared" si="1"/>
        <v>14</v>
      </c>
      <c r="BM22" s="25">
        <f t="shared" si="1"/>
        <v>15</v>
      </c>
      <c r="BN22" s="25">
        <f t="shared" si="1"/>
        <v>16</v>
      </c>
      <c r="BO22" s="25">
        <f t="shared" si="1"/>
        <v>17</v>
      </c>
      <c r="BP22" s="25">
        <f t="shared" si="1"/>
        <v>18</v>
      </c>
      <c r="BQ22" s="25">
        <f t="shared" si="1"/>
        <v>19</v>
      </c>
      <c r="BR22" s="25">
        <f t="shared" si="1"/>
        <v>20</v>
      </c>
      <c r="BS22" s="25">
        <f t="shared" si="1"/>
        <v>21</v>
      </c>
      <c r="BT22" s="25">
        <f t="shared" si="1"/>
        <v>22</v>
      </c>
      <c r="BU22" s="25">
        <f t="shared" si="1"/>
        <v>23</v>
      </c>
      <c r="BV22" s="25">
        <f t="shared" si="1"/>
        <v>24</v>
      </c>
      <c r="BW22" s="25">
        <f t="shared" si="1"/>
        <v>25</v>
      </c>
      <c r="BX22" s="25">
        <f t="shared" si="1"/>
        <v>26</v>
      </c>
      <c r="BY22" s="25">
        <f t="shared" si="1"/>
        <v>27</v>
      </c>
      <c r="BZ22" s="25">
        <f t="shared" si="1"/>
        <v>28</v>
      </c>
      <c r="CA22" s="25">
        <f t="shared" si="1"/>
        <v>29</v>
      </c>
      <c r="CB22" s="20">
        <f t="shared" si="1"/>
        <v>30</v>
      </c>
      <c r="EU22"/>
      <c r="EV22"/>
      <c r="EW22"/>
      <c r="EX22"/>
      <c r="EY22"/>
      <c r="EZ22"/>
      <c r="FA22"/>
      <c r="FB22"/>
      <c r="FC22"/>
      <c r="FD22"/>
      <c r="FE22"/>
      <c r="FF22"/>
      <c r="FG22"/>
      <c r="FH22"/>
      <c r="FI22"/>
      <c r="FJ22"/>
      <c r="FK22"/>
      <c r="FL22"/>
      <c r="FM22"/>
      <c r="FN22"/>
      <c r="FO22"/>
      <c r="FP22"/>
      <c r="FQ22"/>
      <c r="FR22"/>
      <c r="FS22"/>
      <c r="FT22"/>
      <c r="FU22"/>
      <c r="FV22"/>
      <c r="FW22"/>
    </row>
    <row r="23" spans="1:181">
      <c r="K23"/>
      <c r="L23" s="21"/>
      <c r="M23" s="13"/>
      <c r="N23" s="13"/>
      <c r="O23" s="13" t="s">
        <v>273</v>
      </c>
      <c r="P23" s="13">
        <f>P22*zseg</f>
        <v>0</v>
      </c>
      <c r="Q23" s="13">
        <f t="shared" ref="Q23:AT23" si="2">X_1a+(xseg/2+xseg*(Q22-1))</f>
        <v>1.95</v>
      </c>
      <c r="R23" s="13">
        <f t="shared" si="2"/>
        <v>2.2999999999999998</v>
      </c>
      <c r="S23" s="13">
        <f t="shared" si="2"/>
        <v>2.5</v>
      </c>
      <c r="T23" s="13">
        <f t="shared" si="2"/>
        <v>2.7</v>
      </c>
      <c r="U23" s="13">
        <f t="shared" si="2"/>
        <v>2.9</v>
      </c>
      <c r="V23" s="13">
        <f t="shared" si="2"/>
        <v>3.1</v>
      </c>
      <c r="W23" s="13">
        <f t="shared" si="2"/>
        <v>3.3000000000000003</v>
      </c>
      <c r="X23" s="13">
        <f t="shared" si="2"/>
        <v>3.5</v>
      </c>
      <c r="Y23" s="13">
        <f t="shared" si="2"/>
        <v>3.7</v>
      </c>
      <c r="Z23" s="13">
        <f t="shared" si="2"/>
        <v>3.9000000000000004</v>
      </c>
      <c r="AA23" s="13">
        <f t="shared" si="2"/>
        <v>4.0999999999999996</v>
      </c>
      <c r="AB23" s="13">
        <f t="shared" si="2"/>
        <v>4.3000000000000007</v>
      </c>
      <c r="AC23" s="13">
        <f t="shared" si="2"/>
        <v>4.5</v>
      </c>
      <c r="AD23" s="13">
        <f t="shared" si="2"/>
        <v>4.7</v>
      </c>
      <c r="AE23" s="13">
        <f t="shared" si="2"/>
        <v>4.9000000000000004</v>
      </c>
      <c r="AF23" s="13">
        <f t="shared" si="2"/>
        <v>5.0999999999999996</v>
      </c>
      <c r="AG23" s="13">
        <f t="shared" si="2"/>
        <v>5.3000000000000007</v>
      </c>
      <c r="AH23" s="13">
        <f t="shared" si="2"/>
        <v>5.5</v>
      </c>
      <c r="AI23" s="13">
        <f t="shared" si="2"/>
        <v>5.7</v>
      </c>
      <c r="AJ23" s="13">
        <f t="shared" si="2"/>
        <v>5.9</v>
      </c>
      <c r="AK23" s="13">
        <f t="shared" si="2"/>
        <v>6.1</v>
      </c>
      <c r="AL23" s="13">
        <f t="shared" si="2"/>
        <v>6.3</v>
      </c>
      <c r="AM23" s="13">
        <f t="shared" si="2"/>
        <v>6.5</v>
      </c>
      <c r="AN23" s="13">
        <f t="shared" si="2"/>
        <v>6.7</v>
      </c>
      <c r="AO23" s="13">
        <f t="shared" si="2"/>
        <v>6.9</v>
      </c>
      <c r="AP23" s="13">
        <f t="shared" si="2"/>
        <v>7.1</v>
      </c>
      <c r="AQ23" s="13">
        <f t="shared" si="2"/>
        <v>7.3</v>
      </c>
      <c r="AR23" s="13">
        <f t="shared" si="2"/>
        <v>7.5</v>
      </c>
      <c r="AS23" s="13">
        <f t="shared" si="2"/>
        <v>7.7</v>
      </c>
      <c r="AT23" s="13">
        <f t="shared" si="2"/>
        <v>7.9</v>
      </c>
      <c r="AV23" s="43">
        <f t="shared" si="0"/>
        <v>0</v>
      </c>
      <c r="AW23" s="15"/>
      <c r="AX23" s="15">
        <f>P23</f>
        <v>0</v>
      </c>
      <c r="AY23" s="15">
        <f t="shared" ref="AY23" si="3">Q23</f>
        <v>1.95</v>
      </c>
      <c r="AZ23" s="15">
        <f t="shared" ref="AZ23" si="4">R23</f>
        <v>2.2999999999999998</v>
      </c>
      <c r="BA23" s="15">
        <f t="shared" ref="BA23" si="5">S23</f>
        <v>2.5</v>
      </c>
      <c r="BB23" s="15">
        <f t="shared" ref="BB23" si="6">T23</f>
        <v>2.7</v>
      </c>
      <c r="BC23" s="15">
        <f t="shared" ref="BC23" si="7">U23</f>
        <v>2.9</v>
      </c>
      <c r="BD23" s="15">
        <f t="shared" ref="BD23" si="8">V23</f>
        <v>3.1</v>
      </c>
      <c r="BE23" s="15">
        <f t="shared" ref="BE23" si="9">W23</f>
        <v>3.3000000000000003</v>
      </c>
      <c r="BF23" s="15">
        <f t="shared" ref="BF23" si="10">X23</f>
        <v>3.5</v>
      </c>
      <c r="BG23" s="15">
        <f t="shared" ref="BG23" si="11">Y23</f>
        <v>3.7</v>
      </c>
      <c r="BH23" s="15">
        <f t="shared" ref="BH23" si="12">Z23</f>
        <v>3.9000000000000004</v>
      </c>
      <c r="BI23" s="15">
        <f t="shared" ref="BI23" si="13">AA23</f>
        <v>4.0999999999999996</v>
      </c>
      <c r="BJ23" s="15">
        <f t="shared" ref="BJ23" si="14">AB23</f>
        <v>4.3000000000000007</v>
      </c>
      <c r="BK23" s="15">
        <f t="shared" ref="BK23" si="15">AC23</f>
        <v>4.5</v>
      </c>
      <c r="BL23" s="15">
        <f t="shared" ref="BL23" si="16">AD23</f>
        <v>4.7</v>
      </c>
      <c r="BM23" s="15">
        <f t="shared" ref="BM23" si="17">AE23</f>
        <v>4.9000000000000004</v>
      </c>
      <c r="BN23" s="15">
        <f t="shared" ref="BN23" si="18">AF23</f>
        <v>5.0999999999999996</v>
      </c>
      <c r="BO23" s="15">
        <f t="shared" ref="BO23" si="19">AG23</f>
        <v>5.3000000000000007</v>
      </c>
      <c r="BP23" s="15">
        <f t="shared" ref="BP23" si="20">AH23</f>
        <v>5.5</v>
      </c>
      <c r="BQ23" s="15">
        <f t="shared" ref="BQ23" si="21">AI23</f>
        <v>5.7</v>
      </c>
      <c r="BR23" s="15">
        <f t="shared" ref="BR23" si="22">AJ23</f>
        <v>5.9</v>
      </c>
      <c r="BS23" s="15">
        <f t="shared" ref="BS23" si="23">AK23</f>
        <v>6.1</v>
      </c>
      <c r="BT23" s="15">
        <f t="shared" ref="BT23" si="24">AL23</f>
        <v>6.3</v>
      </c>
      <c r="BU23" s="15">
        <f t="shared" ref="BU23" si="25">AM23</f>
        <v>6.5</v>
      </c>
      <c r="BV23" s="15">
        <f t="shared" ref="BV23" si="26">AN23</f>
        <v>6.7</v>
      </c>
      <c r="BW23" s="15">
        <f t="shared" ref="BW23" si="27">AO23</f>
        <v>6.9</v>
      </c>
      <c r="BX23" s="15">
        <f t="shared" ref="BX23" si="28">AP23</f>
        <v>7.1</v>
      </c>
      <c r="BY23" s="15">
        <f t="shared" ref="BY23" si="29">AQ23</f>
        <v>7.3</v>
      </c>
      <c r="BZ23" s="15">
        <f t="shared" ref="BZ23" si="30">AR23</f>
        <v>7.5</v>
      </c>
      <c r="CA23" s="15">
        <f t="shared" ref="CA23" si="31">AS23</f>
        <v>7.7</v>
      </c>
      <c r="CB23" s="16">
        <f t="shared" ref="CB23" si="32">AT23</f>
        <v>7.9</v>
      </c>
      <c r="CD23" s="2" t="s">
        <v>279</v>
      </c>
      <c r="EU23"/>
      <c r="EV23"/>
      <c r="EW23"/>
      <c r="EX23"/>
      <c r="EY23"/>
      <c r="EZ23"/>
      <c r="FA23"/>
      <c r="FB23"/>
      <c r="FC23"/>
      <c r="FD23"/>
      <c r="FE23"/>
      <c r="FF23"/>
      <c r="FG23"/>
      <c r="FH23"/>
      <c r="FI23"/>
      <c r="FJ23"/>
      <c r="FK23"/>
      <c r="FL23"/>
      <c r="FM23"/>
      <c r="FN23"/>
      <c r="FO23"/>
      <c r="FP23"/>
      <c r="FQ23"/>
      <c r="FR23"/>
      <c r="FS23"/>
      <c r="FT23"/>
      <c r="FU23"/>
      <c r="FV23"/>
      <c r="FW23"/>
    </row>
    <row r="24" spans="1:181" ht="45">
      <c r="A24" s="149" t="s">
        <v>270</v>
      </c>
      <c r="B24" s="150" t="s">
        <v>268</v>
      </c>
      <c r="C24" s="150" t="s">
        <v>271</v>
      </c>
      <c r="D24" s="150" t="s">
        <v>4</v>
      </c>
      <c r="E24" s="150" t="s">
        <v>132</v>
      </c>
      <c r="F24" s="150" t="s">
        <v>130</v>
      </c>
      <c r="G24" s="150" t="s">
        <v>131</v>
      </c>
      <c r="H24" s="150" t="s">
        <v>282</v>
      </c>
      <c r="I24" s="150" t="s">
        <v>283</v>
      </c>
      <c r="J24" s="151" t="s">
        <v>284</v>
      </c>
      <c r="K24"/>
      <c r="L24" s="22" t="s">
        <v>270</v>
      </c>
      <c r="M24" s="17" t="s">
        <v>268</v>
      </c>
      <c r="N24" s="17" t="s">
        <v>271</v>
      </c>
      <c r="O24" s="9" t="s">
        <v>274</v>
      </c>
      <c r="P24" s="17"/>
      <c r="Q24" s="17"/>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4"/>
      <c r="AV24" s="43" t="str">
        <f t="shared" si="0"/>
        <v>zi, ft</v>
      </c>
      <c r="AW24" s="148" t="s">
        <v>4</v>
      </c>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6"/>
      <c r="CD24" s="2" t="s">
        <v>280</v>
      </c>
      <c r="EU24"/>
      <c r="EV24"/>
      <c r="EW24"/>
      <c r="EX24"/>
      <c r="EY24"/>
      <c r="EZ24"/>
      <c r="FA24"/>
      <c r="FB24"/>
      <c r="FC24"/>
      <c r="FD24"/>
      <c r="FE24"/>
      <c r="FF24"/>
      <c r="FG24"/>
      <c r="FH24"/>
      <c r="FI24"/>
      <c r="FJ24"/>
      <c r="FK24"/>
      <c r="FL24"/>
      <c r="FM24"/>
      <c r="FN24"/>
      <c r="FO24"/>
      <c r="FP24"/>
      <c r="FQ24"/>
      <c r="FR24"/>
      <c r="FS24"/>
      <c r="FT24"/>
      <c r="FU24"/>
      <c r="FV24"/>
      <c r="FW24"/>
    </row>
    <row r="25" spans="1:181">
      <c r="A25" s="21">
        <v>0</v>
      </c>
      <c r="B25" s="13">
        <f>$B$5-C25</f>
        <v>7.5</v>
      </c>
      <c r="C25" s="13">
        <v>0</v>
      </c>
      <c r="D25" s="15">
        <f>SUM(AX25:CB25)</f>
        <v>-0.16308916164846329</v>
      </c>
      <c r="E25" s="13">
        <v>0</v>
      </c>
      <c r="F25" s="15">
        <v>0</v>
      </c>
      <c r="G25" s="15">
        <v>0</v>
      </c>
      <c r="H25" s="15">
        <f>SUM(G25:G55)</f>
        <v>1549.2001628453409</v>
      </c>
      <c r="I25" s="15">
        <f>SUM(E25:E55)</f>
        <v>340.92087844481921</v>
      </c>
      <c r="J25" s="16">
        <f>H25/I25</f>
        <v>4.5441633551818139</v>
      </c>
      <c r="K25"/>
      <c r="L25" s="21">
        <v>0</v>
      </c>
      <c r="M25" s="13">
        <f>$B$5-N25</f>
        <v>7.5</v>
      </c>
      <c r="N25" s="13">
        <v>0</v>
      </c>
      <c r="O25" s="13"/>
      <c r="P25" s="13">
        <f>SQRT(P$23^2+$N25^2)</f>
        <v>0</v>
      </c>
      <c r="Q25" s="13">
        <f>SQRT(Q$23^2+$N25^2)</f>
        <v>1.95</v>
      </c>
      <c r="R25" s="13">
        <f>SQRT(R$23^2+$N25^2)</f>
        <v>2.2999999999999998</v>
      </c>
      <c r="S25" s="13">
        <f t="shared" ref="S25:AT34" si="33">SQRT(S$23^2+$N25^2)</f>
        <v>2.5</v>
      </c>
      <c r="T25" s="13">
        <f t="shared" si="33"/>
        <v>2.7</v>
      </c>
      <c r="U25" s="13">
        <f t="shared" si="33"/>
        <v>2.9</v>
      </c>
      <c r="V25" s="13">
        <f t="shared" si="33"/>
        <v>3.1</v>
      </c>
      <c r="W25" s="13">
        <f t="shared" si="33"/>
        <v>3.3000000000000003</v>
      </c>
      <c r="X25" s="13">
        <f t="shared" si="33"/>
        <v>3.5</v>
      </c>
      <c r="Y25" s="13">
        <f t="shared" si="33"/>
        <v>3.7</v>
      </c>
      <c r="Z25" s="13">
        <f t="shared" si="33"/>
        <v>3.9000000000000004</v>
      </c>
      <c r="AA25" s="13">
        <f t="shared" si="33"/>
        <v>4.0999999999999996</v>
      </c>
      <c r="AB25" s="13">
        <f t="shared" si="33"/>
        <v>4.3000000000000007</v>
      </c>
      <c r="AC25" s="13">
        <f t="shared" si="33"/>
        <v>4.5</v>
      </c>
      <c r="AD25" s="13">
        <f t="shared" si="33"/>
        <v>4.7</v>
      </c>
      <c r="AE25" s="13">
        <f t="shared" si="33"/>
        <v>4.9000000000000004</v>
      </c>
      <c r="AF25" s="13">
        <f t="shared" si="33"/>
        <v>5.0999999999999996</v>
      </c>
      <c r="AG25" s="13">
        <f t="shared" si="33"/>
        <v>5.3000000000000007</v>
      </c>
      <c r="AH25" s="13">
        <f t="shared" si="33"/>
        <v>5.5</v>
      </c>
      <c r="AI25" s="13">
        <f t="shared" si="33"/>
        <v>5.7</v>
      </c>
      <c r="AJ25" s="13">
        <f t="shared" si="33"/>
        <v>5.9</v>
      </c>
      <c r="AK25" s="13">
        <f t="shared" si="33"/>
        <v>6.1</v>
      </c>
      <c r="AL25" s="13">
        <f t="shared" si="33"/>
        <v>6.3</v>
      </c>
      <c r="AM25" s="13">
        <f t="shared" si="33"/>
        <v>6.5</v>
      </c>
      <c r="AN25" s="13">
        <f t="shared" si="33"/>
        <v>6.7</v>
      </c>
      <c r="AO25" s="13">
        <f t="shared" si="33"/>
        <v>6.9</v>
      </c>
      <c r="AP25" s="13">
        <f t="shared" si="33"/>
        <v>7.1</v>
      </c>
      <c r="AQ25" s="13">
        <f t="shared" si="33"/>
        <v>7.3</v>
      </c>
      <c r="AR25" s="13">
        <f t="shared" si="33"/>
        <v>7.5</v>
      </c>
      <c r="AS25" s="13">
        <f t="shared" si="33"/>
        <v>7.7</v>
      </c>
      <c r="AT25" s="14">
        <f t="shared" si="33"/>
        <v>7.9</v>
      </c>
      <c r="AV25" s="43">
        <f t="shared" si="0"/>
        <v>0</v>
      </c>
      <c r="AW25" s="15"/>
      <c r="AX25" s="15">
        <v>0</v>
      </c>
      <c r="AY25" s="15">
        <f t="shared" ref="AY25:AY55" si="34">P/(2*PI())*(3*Q$23^2*$N25/Q25^5-((1-2*v)/(Q25*(Q25+$N25))))</f>
        <v>-2.2465086836028894E-2</v>
      </c>
      <c r="AZ25" s="15">
        <f t="shared" ref="AZ25:AZ55" si="35">P/(2*PI())*(3*R$23^2*$N25/R25^5-((1-2*v)/(R25*(R25+$N25))))</f>
        <v>-1.6148108259735328E-2</v>
      </c>
      <c r="BA25" s="15">
        <f t="shared" ref="BA25:BA55" si="36">P/(2*PI())*(3*S$23^2*$N25/S25^5-((1-2*v)/(S25*(S25+$N25))))</f>
        <v>-1.366775883103998E-2</v>
      </c>
      <c r="BB25" s="15">
        <f t="shared" ref="BB25:BB55" si="37">P/(2*PI())*(3*T$23^2*$N25/T25^5-((1-2*v)/(T25*(T25+$N25))))</f>
        <v>-1.1717900232373093E-2</v>
      </c>
      <c r="BC25" s="15">
        <f t="shared" ref="BC25:BC55" si="38">P/(2*PI())*(3*U$23^2*$N25/U25^5-((1-2*v)/(U25*(U25+$N25))))</f>
        <v>-1.0157371307253254E-2</v>
      </c>
      <c r="BD25" s="15">
        <f t="shared" ref="BD25:BD55" si="39">P/(2*PI())*(3*V$23^2*$N25/V25^5-((1-2*v)/(V25*(V25+$N25))))</f>
        <v>-8.8890210919874979E-3</v>
      </c>
      <c r="BE25" s="15">
        <f t="shared" ref="BE25:BE55" si="40">P/(2*PI())*(3*W$23^2*$N25/W25^5-((1-2*v)/(W25*(W25+$N25))))</f>
        <v>-7.8442142051423185E-3</v>
      </c>
      <c r="BF25" s="15">
        <f t="shared" ref="BF25:BF55" si="41">P/(2*PI())*(3*X$23^2*$N25/X25^5-((1-2*v)/(X25*(X25+$N25))))</f>
        <v>-6.9733463423673368E-3</v>
      </c>
      <c r="BG25" s="15">
        <f t="shared" ref="BG25:BG55" si="42">P/(2*PI())*(3*Y$23^2*$N25/Y25^5-((1-2*v)/(Y25*(Y25+$N25))))</f>
        <v>-6.2398460696858928E-3</v>
      </c>
      <c r="BH25" s="15">
        <f t="shared" ref="BH25:BH55" si="43">P/(2*PI())*(3*Z$23^2*$N25/Z25^5-((1-2*v)/(Z25*(Z25+$N25))))</f>
        <v>-5.6162717090072218E-3</v>
      </c>
      <c r="BI25" s="15">
        <f t="shared" ref="BI25:BI55" si="44">P/(2*PI())*(3*AA$23^2*$N25/AA25^5-((1-2*v)/(AA25*(AA25+$N25))))</f>
        <v>-5.0817068824509145E-3</v>
      </c>
      <c r="BJ25" s="15">
        <f t="shared" ref="BJ25:BJ55" si="45">P/(2*PI())*(3*AB$23^2*$N25/AB25^5-((1-2*v)/(AB25*(AB25+$N25))))</f>
        <v>-4.6199833798810088E-3</v>
      </c>
      <c r="BK25" s="15">
        <f t="shared" ref="BK25:BK55" si="46">P/(2*PI())*(3*AC$23^2*$N25/AC25^5-((1-2*v)/(AC25*(AC25+$N25))))</f>
        <v>-4.2184440836543144E-3</v>
      </c>
      <c r="BL25" s="15">
        <f t="shared" ref="BL25:BL55" si="47">P/(2*PI())*(3*AD$23^2*$N25/AD25^5-((1-2*v)/(AD25*(AD25+$N25))))</f>
        <v>-3.8670662152104959E-3</v>
      </c>
      <c r="BM25" s="15">
        <f t="shared" ref="BM25:BM55" si="48">P/(2*PI())*(3*AE$23^2*$N25/AE25^5-((1-2*v)/(AE25*(AE25+$N25))))</f>
        <v>-3.5578297665139467E-3</v>
      </c>
      <c r="BN25" s="15">
        <f t="shared" ref="BN25:BN55" si="49">P/(2*PI())*(3*AF$23^2*$N25/AF25^5-((1-2*v)/(AF25*(AF25+$N25))))</f>
        <v>-3.2842557744713523E-3</v>
      </c>
      <c r="BO25" s="15">
        <f t="shared" ref="BO25:BO55" si="50">P/(2*PI())*(3*AG$23^2*$N25/AG25^5-((1-2*v)/(AG25*(AG25+$N25))))</f>
        <v>-3.0410641756496918E-3</v>
      </c>
      <c r="BP25" s="15">
        <f t="shared" ref="BP25:BP55" si="51">P/(2*PI())*(3*AH$23^2*$N25/AH25^5-((1-2*v)/(AH25*(AH25+$N25))))</f>
        <v>-2.8239171138512353E-3</v>
      </c>
      <c r="BQ25" s="15">
        <f t="shared" ref="BQ25:BQ55" si="52">P/(2*PI())*(3*AI$23^2*$N25/AI25^5-((1-2*v)/(AI25*(AI25+$N25))))</f>
        <v>-2.6292241518621074E-3</v>
      </c>
      <c r="BR25" s="15">
        <f t="shared" ref="BR25:BR55" si="53">P/(2*PI())*(3*AJ$23^2*$N25/AJ25^5-((1-2*v)/(AJ25*(AJ25+$N25))))</f>
        <v>-2.4539928955472526E-3</v>
      </c>
      <c r="BS25" s="15">
        <f t="shared" ref="BS25:BS55" si="54">P/(2*PI())*(3*AK$23^2*$N25/AK25^5-((1-2*v)/(AK25*(AK25+$N25))))</f>
        <v>-2.2957133215264682E-3</v>
      </c>
      <c r="BT25" s="15">
        <f t="shared" ref="BT25:BT55" si="55">P/(2*PI())*(3*AL$23^2*$N25/AL25^5-((1-2*v)/(AL25*(AL25+$N25))))</f>
        <v>-2.1522673896195482E-3</v>
      </c>
      <c r="BU25" s="15">
        <f t="shared" ref="BU25:BU55" si="56">P/(2*PI())*(3*AM$23^2*$N25/AM25^5-((1-2*v)/(AM25*(AM25+$N25))))</f>
        <v>-2.0218578152426006E-3</v>
      </c>
      <c r="BV25" s="15">
        <f t="shared" ref="BV25:BV55" si="57">P/(2*PI())*(3*AN$23^2*$N25/AN25^5-((1-2*v)/(AN25*(AN25+$N25))))</f>
        <v>-1.9029514968589855E-3</v>
      </c>
      <c r="BW25" s="15">
        <f t="shared" ref="BW25:BW55" si="58">P/(2*PI())*(3*AO$23^2*$N25/AO25^5-((1-2*v)/(AO25*(AO25+$N25))))</f>
        <v>-1.7942342510817023E-3</v>
      </c>
      <c r="BX25" s="15">
        <f t="shared" ref="BX25:BX55" si="59">P/(2*PI())*(3*AP$23^2*$N25/AP25^5-((1-2*v)/(AP25*(AP25+$N25))))</f>
        <v>-1.6945743442570893E-3</v>
      </c>
      <c r="BY25" s="15">
        <f t="shared" ref="BY25:BY55" si="60">P/(2*PI())*(3*AQ$23^2*$N25/AQ25^5-((1-2*v)/(AQ25*(AQ25+$N25))))</f>
        <v>-1.6029929197598023E-3</v>
      </c>
      <c r="BZ25" s="15">
        <f t="shared" ref="BZ25:BZ55" si="61">P/(2*PI())*(3*AR$23^2*$N25/AR25^5-((1-2*v)/(AR25*(AR25+$N25))))</f>
        <v>-1.5186398701155534E-3</v>
      </c>
      <c r="CA25" s="15">
        <f t="shared" ref="CA25:CA55" si="62">P/(2*PI())*(3*AS$23^2*$N25/AS25^5-((1-2*v)/(AS25*(AS25+$N25))))</f>
        <v>-1.4407740376792015E-3</v>
      </c>
      <c r="CB25" s="15">
        <f t="shared" ref="CB25:CB55" si="63">P/(2*PI())*(3*AT$23^2*$N25/AT25^5-((1-2*v)/(AT25*(AT25+$N25))))</f>
        <v>-1.3687468786091951E-3</v>
      </c>
      <c r="EU25"/>
      <c r="EV25"/>
      <c r="EW25"/>
      <c r="EX25"/>
      <c r="EY25"/>
      <c r="EZ25"/>
      <c r="FA25"/>
      <c r="FB25"/>
      <c r="FC25"/>
      <c r="FD25"/>
      <c r="FE25"/>
      <c r="FF25"/>
      <c r="FG25"/>
      <c r="FH25"/>
      <c r="FI25"/>
      <c r="FJ25"/>
      <c r="FK25"/>
      <c r="FL25"/>
      <c r="FM25"/>
      <c r="FN25"/>
      <c r="FO25"/>
      <c r="FP25"/>
      <c r="FQ25"/>
      <c r="FR25"/>
      <c r="FS25"/>
      <c r="FT25"/>
      <c r="FU25"/>
      <c r="FV25"/>
      <c r="FW25"/>
    </row>
    <row r="26" spans="1:181">
      <c r="A26" s="21">
        <v>1</v>
      </c>
      <c r="B26" s="13">
        <f t="shared" ref="B26:B55" si="64">$B$5-C26</f>
        <v>7.25</v>
      </c>
      <c r="C26" s="15">
        <f>A26*$B$16</f>
        <v>0.25</v>
      </c>
      <c r="D26" s="15">
        <f>SUM(AX26:CB26)</f>
        <v>24.711393935923049</v>
      </c>
      <c r="E26" s="15">
        <f>(D26+D25)/2*(C26-C25)</f>
        <v>3.068538096784323</v>
      </c>
      <c r="F26" s="15">
        <f>($B$5-C26)+$B$16*(2*E25+E26)/(3*(E25+E26))</f>
        <v>7.333333333333333</v>
      </c>
      <c r="G26" s="15">
        <f>E26*F26</f>
        <v>22.502612709751702</v>
      </c>
      <c r="H26" s="15"/>
      <c r="I26" s="15"/>
      <c r="J26" s="16"/>
      <c r="K26"/>
      <c r="L26" s="21">
        <v>1</v>
      </c>
      <c r="M26" s="13">
        <f t="shared" ref="M26:M55" si="65">$B$5-N26</f>
        <v>7.25</v>
      </c>
      <c r="N26" s="15">
        <f>L26*$B$16</f>
        <v>0.25</v>
      </c>
      <c r="O26" s="15"/>
      <c r="P26" s="13">
        <f t="shared" ref="P26:P55" si="66">SQRT(P$23^2+$N26^2)</f>
        <v>0.25</v>
      </c>
      <c r="Q26" s="13">
        <f>SQRT(Q$23^2+$N26^2)</f>
        <v>1.9659603251337499</v>
      </c>
      <c r="R26" s="13">
        <f>SQRT(R$23^2+$N26^2)</f>
        <v>2.3135470602518549</v>
      </c>
      <c r="S26" s="13">
        <f t="shared" si="33"/>
        <v>2.5124689052802225</v>
      </c>
      <c r="T26" s="13">
        <f t="shared" si="33"/>
        <v>2.7115493725912501</v>
      </c>
      <c r="U26" s="13">
        <f t="shared" si="33"/>
        <v>2.9107559155655771</v>
      </c>
      <c r="V26" s="13">
        <f t="shared" si="33"/>
        <v>3.1100643080167973</v>
      </c>
      <c r="W26" s="13">
        <f t="shared" si="33"/>
        <v>3.3094561486745828</v>
      </c>
      <c r="X26" s="13">
        <f t="shared" si="33"/>
        <v>3.5089172119045497</v>
      </c>
      <c r="Y26" s="13">
        <f t="shared" si="33"/>
        <v>3.7084363281577319</v>
      </c>
      <c r="Z26" s="13">
        <f t="shared" si="33"/>
        <v>3.9080046059338267</v>
      </c>
      <c r="AA26" s="13">
        <f t="shared" si="33"/>
        <v>4.1076148797081746</v>
      </c>
      <c r="AB26" s="13">
        <f t="shared" si="33"/>
        <v>4.3072613108563553</v>
      </c>
      <c r="AC26" s="13">
        <f t="shared" si="33"/>
        <v>4.5069390943299865</v>
      </c>
      <c r="AD26" s="13">
        <f t="shared" si="33"/>
        <v>4.7066442397954837</v>
      </c>
      <c r="AE26" s="13">
        <f t="shared" si="33"/>
        <v>4.9063734060913058</v>
      </c>
      <c r="AF26" s="13">
        <f t="shared" si="33"/>
        <v>5.1061237744496557</v>
      </c>
      <c r="AG26" s="13">
        <f t="shared" si="33"/>
        <v>5.3058929502959264</v>
      </c>
      <c r="AH26" s="13">
        <f t="shared" si="33"/>
        <v>5.5056788863863098</v>
      </c>
      <c r="AI26" s="13">
        <f t="shared" si="33"/>
        <v>5.7054798220658007</v>
      </c>
      <c r="AJ26" s="13">
        <f t="shared" si="33"/>
        <v>5.9052942348370756</v>
      </c>
      <c r="AK26" s="13">
        <f t="shared" si="33"/>
        <v>6.1051208014256355</v>
      </c>
      <c r="AL26" s="13">
        <f t="shared" si="33"/>
        <v>6.3049583662384316</v>
      </c>
      <c r="AM26" s="13">
        <f t="shared" si="33"/>
        <v>6.504805915628844</v>
      </c>
      <c r="AN26" s="13">
        <f t="shared" si="33"/>
        <v>6.7046625567585432</v>
      </c>
      <c r="AO26" s="13">
        <f t="shared" si="33"/>
        <v>6.9045275001262763</v>
      </c>
      <c r="AP26" s="13">
        <f t="shared" si="33"/>
        <v>7.1044000450425084</v>
      </c>
      <c r="AQ26" s="13">
        <f t="shared" si="33"/>
        <v>7.3042795674864474</v>
      </c>
      <c r="AR26" s="13">
        <f t="shared" si="33"/>
        <v>7.5041655099018172</v>
      </c>
      <c r="AS26" s="13">
        <f t="shared" si="33"/>
        <v>7.7040573725797241</v>
      </c>
      <c r="AT26" s="14">
        <f t="shared" si="33"/>
        <v>7.9039547063479558</v>
      </c>
      <c r="AV26" s="43">
        <f t="shared" si="0"/>
        <v>0.25</v>
      </c>
      <c r="AW26" s="15"/>
      <c r="AX26" s="15">
        <f t="shared" ref="AX26:AX55" si="67">P/(2*PI())*(3*P$23^2*$N26/P26^5-((1-2*v)/(P26*(P26+$N26))))</f>
        <v>-0.683387941551999</v>
      </c>
      <c r="AY26" s="15">
        <f t="shared" si="34"/>
        <v>5.5133818421755487</v>
      </c>
      <c r="AZ26" s="15">
        <f t="shared" si="35"/>
        <v>3.396178121705828</v>
      </c>
      <c r="BA26" s="15">
        <f t="shared" si="36"/>
        <v>2.6554166351165134</v>
      </c>
      <c r="BB26" s="15">
        <f t="shared" si="37"/>
        <v>2.114584782537309</v>
      </c>
      <c r="BC26" s="15">
        <f t="shared" si="38"/>
        <v>1.7107270159731318</v>
      </c>
      <c r="BD26" s="15">
        <f t="shared" si="39"/>
        <v>1.4031957805434017</v>
      </c>
      <c r="BE26" s="15">
        <f t="shared" si="40"/>
        <v>1.1649684002343563</v>
      </c>
      <c r="BF26" s="15">
        <f t="shared" si="41"/>
        <v>0.97761367195712046</v>
      </c>
      <c r="BG26" s="15">
        <f t="shared" si="42"/>
        <v>0.82827238345783782</v>
      </c>
      <c r="BH26" s="15">
        <f t="shared" si="43"/>
        <v>0.70779024506167876</v>
      </c>
      <c r="BI26" s="15">
        <f t="shared" si="44"/>
        <v>0.6095318615809735</v>
      </c>
      <c r="BJ26" s="15">
        <f t="shared" si="45"/>
        <v>0.52860892445909546</v>
      </c>
      <c r="BK26" s="15">
        <f t="shared" si="46"/>
        <v>0.461366930166413</v>
      </c>
      <c r="BL26" s="15">
        <f t="shared" si="47"/>
        <v>0.40503705552936647</v>
      </c>
      <c r="BM26" s="15">
        <f t="shared" si="48"/>
        <v>0.35749579435646167</v>
      </c>
      <c r="BN26" s="15">
        <f t="shared" si="49"/>
        <v>0.31709627152978215</v>
      </c>
      <c r="BO26" s="15">
        <f t="shared" si="50"/>
        <v>0.2825480792979691</v>
      </c>
      <c r="BP26" s="15">
        <f t="shared" si="51"/>
        <v>0.25283049523909717</v>
      </c>
      <c r="BQ26" s="15">
        <f t="shared" si="52"/>
        <v>0.22712900961537677</v>
      </c>
      <c r="BR26" s="15">
        <f t="shared" si="53"/>
        <v>0.20478835400821899</v>
      </c>
      <c r="BS26" s="15">
        <f t="shared" si="54"/>
        <v>0.18527736119809388</v>
      </c>
      <c r="BT26" s="15">
        <f t="shared" si="55"/>
        <v>0.16816240881059694</v>
      </c>
      <c r="BU26" s="15">
        <f t="shared" si="56"/>
        <v>0.15308715959743308</v>
      </c>
      <c r="BV26" s="15">
        <f t="shared" si="57"/>
        <v>0.13975696837191523</v>
      </c>
      <c r="BW26" s="15">
        <f t="shared" si="58"/>
        <v>0.12792678101448271</v>
      </c>
      <c r="BX26" s="15">
        <f t="shared" si="59"/>
        <v>0.11739167029921684</v>
      </c>
      <c r="BY26" s="15">
        <f t="shared" si="60"/>
        <v>0.10797937971447077</v>
      </c>
      <c r="BZ26" s="15">
        <f t="shared" si="61"/>
        <v>9.954440867397564E-2</v>
      </c>
      <c r="CA26" s="15">
        <f t="shared" si="62"/>
        <v>9.1963289886643804E-2</v>
      </c>
      <c r="CB26" s="15">
        <f t="shared" si="63"/>
        <v>8.5130795362738668E-2</v>
      </c>
      <c r="ET26"/>
      <c r="EU26"/>
      <c r="EV26"/>
      <c r="EW26"/>
      <c r="EX26"/>
      <c r="EY26"/>
      <c r="EZ26"/>
      <c r="FA26"/>
      <c r="FB26"/>
      <c r="FC26"/>
      <c r="FD26"/>
      <c r="FE26"/>
      <c r="FF26"/>
      <c r="FG26"/>
      <c r="FH26"/>
      <c r="FI26"/>
      <c r="FJ26"/>
      <c r="FK26"/>
      <c r="FL26"/>
      <c r="FM26"/>
      <c r="FN26"/>
      <c r="FO26"/>
      <c r="FP26"/>
      <c r="FQ26"/>
      <c r="FR26"/>
      <c r="FS26"/>
      <c r="FT26"/>
      <c r="FU26"/>
      <c r="FV26"/>
      <c r="FW26"/>
    </row>
    <row r="27" spans="1:181">
      <c r="A27" s="21">
        <v>2</v>
      </c>
      <c r="B27" s="13">
        <f t="shared" si="64"/>
        <v>7</v>
      </c>
      <c r="C27" s="15">
        <f t="shared" ref="C27:C55" si="68">A27*$B$16</f>
        <v>0.5</v>
      </c>
      <c r="D27" s="15">
        <f t="shared" ref="D27:D55" si="69">SUM(AX27:CB27)</f>
        <v>47.584199596143016</v>
      </c>
      <c r="E27" s="15">
        <f t="shared" ref="E27:E55" si="70">(D27+D26)/2*(C27-C26)</f>
        <v>9.036949191508258</v>
      </c>
      <c r="F27" s="15">
        <f t="shared" ref="F27:F55" si="71">($B$5-C27)+$B$16*(2*E26+E27)/(3*(E26+E27))</f>
        <v>7.1044569363718217</v>
      </c>
      <c r="G27" s="15">
        <f t="shared" ref="G27:G55" si="72">E27*F27</f>
        <v>64.20261636725057</v>
      </c>
      <c r="H27" s="15"/>
      <c r="I27" s="15"/>
      <c r="J27" s="16"/>
      <c r="K27"/>
      <c r="L27" s="21">
        <v>2</v>
      </c>
      <c r="M27" s="13">
        <f t="shared" si="65"/>
        <v>7</v>
      </c>
      <c r="N27" s="15">
        <f t="shared" ref="N27:N55" si="73">L27*$B$16</f>
        <v>0.5</v>
      </c>
      <c r="O27" s="15"/>
      <c r="P27" s="13">
        <f t="shared" si="66"/>
        <v>0.5</v>
      </c>
      <c r="Q27" s="13">
        <f t="shared" ref="Q27:Q50" si="74">SQRT(Q$23^2+$N27^2)</f>
        <v>2.0130822139197395</v>
      </c>
      <c r="R27" s="13">
        <f t="shared" ref="R27:R55" si="75">SQRT(R$23^2+$N27^2)</f>
        <v>2.3537204591879637</v>
      </c>
      <c r="S27" s="13">
        <f t="shared" si="33"/>
        <v>2.5495097567963922</v>
      </c>
      <c r="T27" s="13">
        <f t="shared" si="33"/>
        <v>2.7459060435491964</v>
      </c>
      <c r="U27" s="13">
        <f t="shared" si="33"/>
        <v>2.9427877939124323</v>
      </c>
      <c r="V27" s="13">
        <f t="shared" si="33"/>
        <v>3.1400636936215167</v>
      </c>
      <c r="W27" s="13">
        <f t="shared" si="33"/>
        <v>3.3376638536557275</v>
      </c>
      <c r="X27" s="13">
        <f t="shared" si="33"/>
        <v>3.5355339059327378</v>
      </c>
      <c r="Y27" s="13">
        <f t="shared" si="33"/>
        <v>3.7336309405188941</v>
      </c>
      <c r="Z27" s="13">
        <f t="shared" si="33"/>
        <v>3.9319206502675002</v>
      </c>
      <c r="AA27" s="13">
        <f t="shared" si="33"/>
        <v>4.1303752856126765</v>
      </c>
      <c r="AB27" s="13">
        <f t="shared" si="33"/>
        <v>4.3289721643826731</v>
      </c>
      <c r="AC27" s="13">
        <f t="shared" si="33"/>
        <v>4.5276925690687087</v>
      </c>
      <c r="AD27" s="13">
        <f t="shared" si="33"/>
        <v>4.72652091923859</v>
      </c>
      <c r="AE27" s="13">
        <f t="shared" si="33"/>
        <v>4.9254441424099014</v>
      </c>
      <c r="AF27" s="13">
        <f t="shared" si="33"/>
        <v>5.1244511901275827</v>
      </c>
      <c r="AG27" s="13">
        <f t="shared" si="33"/>
        <v>5.3235326616824663</v>
      </c>
      <c r="AH27" s="13">
        <f t="shared" si="33"/>
        <v>5.5226805085936306</v>
      </c>
      <c r="AI27" s="13">
        <f t="shared" si="33"/>
        <v>5.7218878003679867</v>
      </c>
      <c r="AJ27" s="13">
        <f t="shared" si="33"/>
        <v>5.921148537234985</v>
      </c>
      <c r="AK27" s="13">
        <f t="shared" si="33"/>
        <v>6.120457499239742</v>
      </c>
      <c r="AL27" s="13">
        <f t="shared" si="33"/>
        <v>6.319810123729984</v>
      </c>
      <c r="AM27" s="13">
        <f t="shared" si="33"/>
        <v>6.5192024052026492</v>
      </c>
      <c r="AN27" s="13">
        <f t="shared" si="33"/>
        <v>6.7186308128963299</v>
      </c>
      <c r="AO27" s="13">
        <f t="shared" si="33"/>
        <v>6.9180922225711914</v>
      </c>
      <c r="AP27" s="13">
        <f t="shared" si="33"/>
        <v>7.1175838597096979</v>
      </c>
      <c r="AQ27" s="13">
        <f t="shared" si="33"/>
        <v>7.3171032519706865</v>
      </c>
      <c r="AR27" s="13">
        <f t="shared" si="33"/>
        <v>7.5166481891864541</v>
      </c>
      <c r="AS27" s="13">
        <f t="shared" si="33"/>
        <v>7.7162166895441713</v>
      </c>
      <c r="AT27" s="14">
        <f t="shared" si="33"/>
        <v>7.9158069708653205</v>
      </c>
      <c r="AV27" s="43">
        <f t="shared" si="0"/>
        <v>0.5</v>
      </c>
      <c r="AW27" s="15"/>
      <c r="AX27" s="15">
        <f t="shared" si="67"/>
        <v>-0.17084698538799975</v>
      </c>
      <c r="AY27" s="15">
        <f t="shared" si="34"/>
        <v>9.8131727089432683</v>
      </c>
      <c r="AZ27" s="15">
        <f t="shared" si="35"/>
        <v>6.245860349507776</v>
      </c>
      <c r="BA27" s="15">
        <f t="shared" si="36"/>
        <v>4.9479777091391295</v>
      </c>
      <c r="BB27" s="15">
        <f t="shared" si="37"/>
        <v>3.9815247314165809</v>
      </c>
      <c r="BC27" s="15">
        <f t="shared" si="38"/>
        <v>3.2484028851263043</v>
      </c>
      <c r="BD27" s="15">
        <f t="shared" si="39"/>
        <v>2.6829800683226539</v>
      </c>
      <c r="BE27" s="15">
        <f t="shared" si="40"/>
        <v>2.2403632159409375</v>
      </c>
      <c r="BF27" s="15">
        <f t="shared" si="41"/>
        <v>1.8892146919182367</v>
      </c>
      <c r="BG27" s="15">
        <f t="shared" si="42"/>
        <v>1.6072487893108651</v>
      </c>
      <c r="BH27" s="15">
        <f t="shared" si="43"/>
        <v>1.378345460543887</v>
      </c>
      <c r="BI27" s="15">
        <f t="shared" si="44"/>
        <v>1.1906618476648694</v>
      </c>
      <c r="BJ27" s="15">
        <f t="shared" si="45"/>
        <v>1.0353726244806258</v>
      </c>
      <c r="BK27" s="15">
        <f t="shared" si="46"/>
        <v>0.9058146081299614</v>
      </c>
      <c r="BL27" s="15">
        <f t="shared" si="47"/>
        <v>0.79689618403102147</v>
      </c>
      <c r="BM27" s="15">
        <f t="shared" si="48"/>
        <v>0.70468324714115571</v>
      </c>
      <c r="BN27" s="15">
        <f t="shared" si="49"/>
        <v>0.62610473183722448</v>
      </c>
      <c r="BO27" s="15">
        <f t="shared" si="50"/>
        <v>0.55874039884329185</v>
      </c>
      <c r="BP27" s="15">
        <f t="shared" si="51"/>
        <v>0.50066600591115429</v>
      </c>
      <c r="BQ27" s="15">
        <f t="shared" si="52"/>
        <v>0.45033904125045182</v>
      </c>
      <c r="BR27" s="15">
        <f t="shared" si="53"/>
        <v>0.40651348464733961</v>
      </c>
      <c r="BS27" s="15">
        <f t="shared" si="54"/>
        <v>0.36817558215163304</v>
      </c>
      <c r="BT27" s="15">
        <f t="shared" si="55"/>
        <v>0.33449499785487496</v>
      </c>
      <c r="BU27" s="15">
        <f t="shared" si="56"/>
        <v>0.30478733269345926</v>
      </c>
      <c r="BV27" s="15">
        <f t="shared" si="57"/>
        <v>0.2784851263211241</v>
      </c>
      <c r="BW27" s="15">
        <f t="shared" si="58"/>
        <v>0.25511524676028768</v>
      </c>
      <c r="BX27" s="15">
        <f t="shared" si="59"/>
        <v>0.23428113086212787</v>
      </c>
      <c r="BY27" s="15">
        <f t="shared" si="60"/>
        <v>0.21564873789898492</v>
      </c>
      <c r="BZ27" s="15">
        <f t="shared" si="61"/>
        <v>0.19893536693477826</v>
      </c>
      <c r="CA27" s="15">
        <f t="shared" si="62"/>
        <v>0.18390069871446366</v>
      </c>
      <c r="CB27" s="15">
        <f t="shared" si="63"/>
        <v>0.17033957723254967</v>
      </c>
      <c r="ET27"/>
      <c r="EU27"/>
      <c r="EV27"/>
      <c r="EW27"/>
      <c r="EX27"/>
      <c r="EY27"/>
      <c r="EZ27"/>
      <c r="FA27"/>
      <c r="FB27"/>
      <c r="FC27"/>
      <c r="FD27"/>
      <c r="FE27"/>
      <c r="FF27"/>
      <c r="FG27"/>
      <c r="FH27"/>
      <c r="FI27"/>
      <c r="FJ27"/>
      <c r="FK27"/>
      <c r="FL27"/>
      <c r="FM27"/>
      <c r="FN27"/>
      <c r="FO27"/>
      <c r="FP27"/>
      <c r="FQ27"/>
      <c r="FR27"/>
      <c r="FS27"/>
      <c r="FT27"/>
      <c r="FU27"/>
      <c r="FV27"/>
      <c r="FW27"/>
    </row>
    <row r="28" spans="1:181">
      <c r="A28" s="21">
        <v>3</v>
      </c>
      <c r="B28" s="13">
        <f t="shared" si="64"/>
        <v>6.75</v>
      </c>
      <c r="C28" s="15">
        <f t="shared" si="68"/>
        <v>0.75</v>
      </c>
      <c r="D28" s="15">
        <f t="shared" si="69"/>
        <v>64.758407945612177</v>
      </c>
      <c r="E28" s="15">
        <f t="shared" si="70"/>
        <v>14.0428259427194</v>
      </c>
      <c r="F28" s="15">
        <f t="shared" si="71"/>
        <v>6.865962728330147</v>
      </c>
      <c r="G28" s="15">
        <f t="shared" si="72"/>
        <v>96.417519523139063</v>
      </c>
      <c r="H28" s="15"/>
      <c r="I28" s="15"/>
      <c r="J28" s="16"/>
      <c r="K28"/>
      <c r="L28" s="21">
        <v>3</v>
      </c>
      <c r="M28" s="13">
        <f t="shared" si="65"/>
        <v>6.75</v>
      </c>
      <c r="N28" s="15">
        <f t="shared" si="73"/>
        <v>0.75</v>
      </c>
      <c r="O28" s="15"/>
      <c r="P28" s="13">
        <f t="shared" si="66"/>
        <v>0.75</v>
      </c>
      <c r="Q28" s="13">
        <f t="shared" si="74"/>
        <v>2.089258241577618</v>
      </c>
      <c r="R28" s="13">
        <f t="shared" si="75"/>
        <v>2.4191940806805889</v>
      </c>
      <c r="S28" s="13">
        <f t="shared" si="33"/>
        <v>2.6100766272276377</v>
      </c>
      <c r="T28" s="13">
        <f t="shared" si="33"/>
        <v>2.8022312538404108</v>
      </c>
      <c r="U28" s="13">
        <f t="shared" si="33"/>
        <v>2.995413160150032</v>
      </c>
      <c r="V28" s="13">
        <f t="shared" si="33"/>
        <v>3.1894356867634124</v>
      </c>
      <c r="W28" s="13">
        <f t="shared" si="33"/>
        <v>3.3841542518035435</v>
      </c>
      <c r="X28" s="13">
        <f t="shared" si="33"/>
        <v>3.5794552658190883</v>
      </c>
      <c r="Y28" s="13">
        <f t="shared" si="33"/>
        <v>3.7752483362025342</v>
      </c>
      <c r="Z28" s="13">
        <f t="shared" si="33"/>
        <v>3.9714606884621184</v>
      </c>
      <c r="AA28" s="13">
        <f t="shared" si="33"/>
        <v>4.1680331092734857</v>
      </c>
      <c r="AB28" s="13">
        <f t="shared" si="33"/>
        <v>4.3649169522454843</v>
      </c>
      <c r="AC28" s="13">
        <f t="shared" si="33"/>
        <v>4.5620718977236647</v>
      </c>
      <c r="AD28" s="13">
        <f t="shared" si="33"/>
        <v>4.7594642555649056</v>
      </c>
      <c r="AE28" s="13">
        <f t="shared" si="33"/>
        <v>4.9570656642816431</v>
      </c>
      <c r="AF28" s="13">
        <f t="shared" si="33"/>
        <v>5.1548520832318747</v>
      </c>
      <c r="AG28" s="13">
        <f t="shared" si="33"/>
        <v>5.3528030040344285</v>
      </c>
      <c r="AH28" s="13">
        <f t="shared" si="33"/>
        <v>5.5509008277936296</v>
      </c>
      <c r="AI28" s="13">
        <f t="shared" si="33"/>
        <v>5.7491303690210405</v>
      </c>
      <c r="AJ28" s="13">
        <f t="shared" si="33"/>
        <v>5.9474784572959996</v>
      </c>
      <c r="AK28" s="13">
        <f t="shared" si="33"/>
        <v>6.1459336150010593</v>
      </c>
      <c r="AL28" s="13">
        <f t="shared" si="33"/>
        <v>6.3444857947669799</v>
      </c>
      <c r="AM28" s="13">
        <f t="shared" si="33"/>
        <v>6.5431261641512002</v>
      </c>
      <c r="AN28" s="13">
        <f t="shared" si="33"/>
        <v>6.7418469279567601</v>
      </c>
      <c r="AO28" s="13">
        <f t="shared" si="33"/>
        <v>6.9406411807555655</v>
      </c>
      <c r="AP28" s="13">
        <f t="shared" si="33"/>
        <v>7.1395027838078473</v>
      </c>
      <c r="AQ28" s="13">
        <f t="shared" si="33"/>
        <v>7.3384262618084541</v>
      </c>
      <c r="AR28" s="13">
        <f t="shared" si="33"/>
        <v>7.5374067158406675</v>
      </c>
      <c r="AS28" s="13">
        <f t="shared" si="33"/>
        <v>7.7364397496522912</v>
      </c>
      <c r="AT28" s="14">
        <f t="shared" si="33"/>
        <v>7.9355214069398112</v>
      </c>
      <c r="AV28" s="43">
        <f t="shared" si="0"/>
        <v>0.75</v>
      </c>
      <c r="AW28" s="15"/>
      <c r="AX28" s="15">
        <f t="shared" si="67"/>
        <v>-7.5931993505777659E-2</v>
      </c>
      <c r="AY28" s="15">
        <f t="shared" si="34"/>
        <v>12.231600083793076</v>
      </c>
      <c r="AZ28" s="15">
        <f t="shared" si="35"/>
        <v>8.1732759620391313</v>
      </c>
      <c r="BA28" s="15">
        <f t="shared" si="36"/>
        <v>6.6047959635007238</v>
      </c>
      <c r="BB28" s="15">
        <f t="shared" si="37"/>
        <v>5.4001239106048402</v>
      </c>
      <c r="BC28" s="15">
        <f t="shared" si="38"/>
        <v>4.4633172433659167</v>
      </c>
      <c r="BD28" s="15">
        <f t="shared" si="39"/>
        <v>3.726045047353796</v>
      </c>
      <c r="BE28" s="15">
        <f t="shared" si="40"/>
        <v>3.1391995167575457</v>
      </c>
      <c r="BF28" s="15">
        <f t="shared" si="41"/>
        <v>2.6671068806167542</v>
      </c>
      <c r="BG28" s="15">
        <f t="shared" si="42"/>
        <v>2.2835555473800868</v>
      </c>
      <c r="BH28" s="15">
        <f t="shared" si="43"/>
        <v>1.9690644045392625</v>
      </c>
      <c r="BI28" s="15">
        <f t="shared" si="44"/>
        <v>1.7089913723468555</v>
      </c>
      <c r="BJ28" s="15">
        <f t="shared" si="45"/>
        <v>1.492211970332477</v>
      </c>
      <c r="BK28" s="15">
        <f t="shared" si="46"/>
        <v>1.3101867911926111</v>
      </c>
      <c r="BL28" s="15">
        <f t="shared" si="47"/>
        <v>1.1562964857700599</v>
      </c>
      <c r="BM28" s="15">
        <f t="shared" si="48"/>
        <v>1.0253624921301596</v>
      </c>
      <c r="BN28" s="15">
        <f t="shared" si="49"/>
        <v>0.91329802640143165</v>
      </c>
      <c r="BO28" s="15">
        <f t="shared" si="50"/>
        <v>0.81685135714058144</v>
      </c>
      <c r="BP28" s="15">
        <f t="shared" si="51"/>
        <v>0.73341511982919105</v>
      </c>
      <c r="BQ28" s="15">
        <f t="shared" si="52"/>
        <v>0.66088335969403111</v>
      </c>
      <c r="BR28" s="15">
        <f t="shared" si="53"/>
        <v>0.59754340021296248</v>
      </c>
      <c r="BS28" s="15">
        <f t="shared" si="54"/>
        <v>0.54199335814376592</v>
      </c>
      <c r="BT28" s="15">
        <f t="shared" si="55"/>
        <v>0.49307871327482733</v>
      </c>
      <c r="BU28" s="15">
        <f t="shared" si="56"/>
        <v>0.44984315589031559</v>
      </c>
      <c r="BV28" s="15">
        <f t="shared" si="57"/>
        <v>0.41149021958927701</v>
      </c>
      <c r="BW28" s="15">
        <f t="shared" si="58"/>
        <v>0.37735312463398074</v>
      </c>
      <c r="BX28" s="15">
        <f t="shared" si="59"/>
        <v>0.34687091803844644</v>
      </c>
      <c r="BY28" s="15">
        <f t="shared" si="60"/>
        <v>0.31956947684956893</v>
      </c>
      <c r="BZ28" s="15">
        <f t="shared" si="61"/>
        <v>0.29504629279072375</v>
      </c>
      <c r="CA28" s="15">
        <f t="shared" si="62"/>
        <v>0.27295821603108472</v>
      </c>
      <c r="CB28" s="15">
        <f t="shared" si="63"/>
        <v>0.25301152887448158</v>
      </c>
      <c r="ET28"/>
      <c r="EU28"/>
      <c r="EV28"/>
      <c r="EW28"/>
      <c r="EX28"/>
      <c r="EY28"/>
      <c r="EZ28"/>
      <c r="FA28"/>
      <c r="FB28"/>
      <c r="FC28"/>
      <c r="FD28"/>
      <c r="FE28"/>
      <c r="FF28"/>
      <c r="FG28"/>
      <c r="FH28"/>
      <c r="FI28"/>
      <c r="FJ28"/>
      <c r="FK28"/>
      <c r="FL28"/>
      <c r="FM28"/>
      <c r="FN28"/>
      <c r="FO28"/>
      <c r="FP28"/>
      <c r="FQ28"/>
      <c r="FR28"/>
      <c r="FS28"/>
      <c r="FT28"/>
      <c r="FU28"/>
      <c r="FV28"/>
      <c r="FW28"/>
    </row>
    <row r="29" spans="1:181">
      <c r="A29" s="21">
        <v>4</v>
      </c>
      <c r="B29" s="13">
        <f t="shared" si="64"/>
        <v>6.5</v>
      </c>
      <c r="C29" s="15">
        <f t="shared" si="68"/>
        <v>1</v>
      </c>
      <c r="D29" s="15">
        <f t="shared" si="69"/>
        <v>76.018271669862131</v>
      </c>
      <c r="E29" s="15">
        <f t="shared" si="70"/>
        <v>17.597084951934288</v>
      </c>
      <c r="F29" s="15">
        <f t="shared" si="71"/>
        <v>6.6203193886709402</v>
      </c>
      <c r="G29" s="15">
        <f t="shared" si="72"/>
        <v>116.49832269138021</v>
      </c>
      <c r="H29" s="15"/>
      <c r="I29" s="15"/>
      <c r="J29" s="16"/>
      <c r="K29"/>
      <c r="L29" s="21">
        <v>4</v>
      </c>
      <c r="M29" s="13">
        <f t="shared" si="65"/>
        <v>6.5</v>
      </c>
      <c r="N29" s="15">
        <f t="shared" si="73"/>
        <v>1</v>
      </c>
      <c r="O29" s="15"/>
      <c r="P29" s="13">
        <f t="shared" si="66"/>
        <v>1</v>
      </c>
      <c r="Q29" s="13">
        <f t="shared" si="74"/>
        <v>2.1914607000811128</v>
      </c>
      <c r="R29" s="13">
        <f t="shared" si="75"/>
        <v>2.5079872407968904</v>
      </c>
      <c r="S29" s="13">
        <f t="shared" si="33"/>
        <v>2.6925824035672519</v>
      </c>
      <c r="T29" s="13">
        <f t="shared" si="33"/>
        <v>2.879236009777594</v>
      </c>
      <c r="U29" s="13">
        <f t="shared" si="33"/>
        <v>3.0675723300355937</v>
      </c>
      <c r="V29" s="13">
        <f t="shared" si="33"/>
        <v>3.2572994949804666</v>
      </c>
      <c r="W29" s="13">
        <f t="shared" si="33"/>
        <v>3.4481879299133338</v>
      </c>
      <c r="X29" s="13">
        <f t="shared" si="33"/>
        <v>3.640054944640259</v>
      </c>
      <c r="Y29" s="13">
        <f t="shared" si="33"/>
        <v>3.8327535793473602</v>
      </c>
      <c r="Z29" s="13">
        <f t="shared" si="33"/>
        <v>4.026164427839479</v>
      </c>
      <c r="AA29" s="13">
        <f t="shared" si="33"/>
        <v>4.2201895692018381</v>
      </c>
      <c r="AB29" s="13">
        <f t="shared" si="33"/>
        <v>4.4147480109288235</v>
      </c>
      <c r="AC29" s="13">
        <f t="shared" si="33"/>
        <v>4.6097722286464435</v>
      </c>
      <c r="AD29" s="13">
        <f t="shared" si="33"/>
        <v>4.805205510693586</v>
      </c>
      <c r="AE29" s="13">
        <f t="shared" si="33"/>
        <v>5.0009999000199956</v>
      </c>
      <c r="AF29" s="13">
        <f t="shared" si="33"/>
        <v>5.1971145840745132</v>
      </c>
      <c r="AG29" s="13">
        <f t="shared" si="33"/>
        <v>5.3935146240647205</v>
      </c>
      <c r="AH29" s="13">
        <f t="shared" si="33"/>
        <v>5.5901699437494745</v>
      </c>
      <c r="AI29" s="13">
        <f t="shared" si="33"/>
        <v>5.7870545184921145</v>
      </c>
      <c r="AJ29" s="13">
        <f t="shared" si="33"/>
        <v>5.9841457201508721</v>
      </c>
      <c r="AK29" s="13">
        <f t="shared" si="33"/>
        <v>6.181423784210236</v>
      </c>
      <c r="AL29" s="13">
        <f t="shared" si="33"/>
        <v>6.3788713735268248</v>
      </c>
      <c r="AM29" s="13">
        <f t="shared" si="33"/>
        <v>6.5764732189829527</v>
      </c>
      <c r="AN29" s="13">
        <f t="shared" si="33"/>
        <v>6.7742158217759787</v>
      </c>
      <c r="AO29" s="13">
        <f t="shared" si="33"/>
        <v>6.9720872054213441</v>
      </c>
      <c r="AP29" s="13">
        <f t="shared" si="33"/>
        <v>7.1700767080973407</v>
      </c>
      <c r="AQ29" s="13">
        <f t="shared" si="33"/>
        <v>7.3681748079154579</v>
      </c>
      <c r="AR29" s="13">
        <f t="shared" si="33"/>
        <v>7.5663729752107782</v>
      </c>
      <c r="AS29" s="13">
        <f t="shared" si="33"/>
        <v>7.7646635471216658</v>
      </c>
      <c r="AT29" s="14">
        <f t="shared" si="33"/>
        <v>7.9630396206473826</v>
      </c>
      <c r="AV29" s="43">
        <f t="shared" si="0"/>
        <v>1</v>
      </c>
      <c r="AW29" s="15"/>
      <c r="AX29" s="15">
        <f t="shared" si="67"/>
        <v>-4.2711746346999938E-2</v>
      </c>
      <c r="AY29" s="15">
        <f t="shared" si="34"/>
        <v>12.84731924338079</v>
      </c>
      <c r="AZ29" s="15">
        <f t="shared" si="35"/>
        <v>9.1031248205564506</v>
      </c>
      <c r="BA29" s="15">
        <f t="shared" si="36"/>
        <v>7.5398866719264355</v>
      </c>
      <c r="BB29" s="15">
        <f t="shared" si="37"/>
        <v>6.2898147557661144</v>
      </c>
      <c r="BC29" s="15">
        <f t="shared" si="38"/>
        <v>5.2854769362611007</v>
      </c>
      <c r="BD29" s="15">
        <f t="shared" si="39"/>
        <v>4.4736473135872306</v>
      </c>
      <c r="BE29" s="15">
        <f t="shared" si="40"/>
        <v>3.812973408548487</v>
      </c>
      <c r="BF29" s="15">
        <f t="shared" si="41"/>
        <v>3.271522605551286</v>
      </c>
      <c r="BG29" s="15">
        <f t="shared" si="42"/>
        <v>2.8246515221585886</v>
      </c>
      <c r="BH29" s="15">
        <f t="shared" si="43"/>
        <v>2.4532931772358175</v>
      </c>
      <c r="BI29" s="15">
        <f t="shared" si="44"/>
        <v>2.1426295273251883</v>
      </c>
      <c r="BJ29" s="15">
        <f t="shared" si="45"/>
        <v>1.8810809209266026</v>
      </c>
      <c r="BK29" s="15">
        <f t="shared" si="46"/>
        <v>1.6595429502527086</v>
      </c>
      <c r="BL29" s="15">
        <f t="shared" si="47"/>
        <v>1.4708114923701152</v>
      </c>
      <c r="BM29" s="15">
        <f t="shared" si="48"/>
        <v>1.3091490887087585</v>
      </c>
      <c r="BN29" s="15">
        <f t="shared" si="49"/>
        <v>1.1699569027905128</v>
      </c>
      <c r="BO29" s="15">
        <f t="shared" si="50"/>
        <v>1.0495254600365962</v>
      </c>
      <c r="BP29" s="15">
        <f t="shared" si="51"/>
        <v>0.94484426970499502</v>
      </c>
      <c r="BQ29" s="15">
        <f t="shared" si="52"/>
        <v>0.85345560118821273</v>
      </c>
      <c r="BR29" s="15">
        <f t="shared" si="53"/>
        <v>0.77334151538932838</v>
      </c>
      <c r="BS29" s="15">
        <f t="shared" si="54"/>
        <v>0.70283606833625412</v>
      </c>
      <c r="BT29" s="15">
        <f t="shared" si="55"/>
        <v>0.64055667209529887</v>
      </c>
      <c r="BU29" s="15">
        <f t="shared" si="56"/>
        <v>0.58535011744553866</v>
      </c>
      <c r="BV29" s="15">
        <f t="shared" si="57"/>
        <v>0.53624988189495104</v>
      </c>
      <c r="BW29" s="15">
        <f t="shared" si="58"/>
        <v>0.49244217385902661</v>
      </c>
      <c r="BX29" s="15">
        <f t="shared" si="59"/>
        <v>0.4532387779457604</v>
      </c>
      <c r="BY29" s="15">
        <f t="shared" si="60"/>
        <v>0.41805522438276832</v>
      </c>
      <c r="BZ29" s="15">
        <f t="shared" si="61"/>
        <v>0.38639314905931671</v>
      </c>
      <c r="CA29" s="15">
        <f t="shared" si="62"/>
        <v>0.3578259694825045</v>
      </c>
      <c r="CB29" s="15">
        <f t="shared" si="63"/>
        <v>0.33198719804237886</v>
      </c>
      <c r="ET29"/>
      <c r="EU29"/>
      <c r="EV29"/>
      <c r="EW29"/>
      <c r="EX29"/>
      <c r="EY29"/>
      <c r="EZ29"/>
      <c r="FA29"/>
      <c r="FB29"/>
      <c r="FC29"/>
      <c r="FD29"/>
      <c r="FE29"/>
      <c r="FF29"/>
      <c r="FG29"/>
      <c r="FH29"/>
      <c r="FI29"/>
      <c r="FJ29"/>
      <c r="FK29"/>
      <c r="FL29"/>
      <c r="FM29"/>
      <c r="FN29"/>
      <c r="FO29"/>
      <c r="FP29"/>
      <c r="FQ29"/>
      <c r="FR29"/>
      <c r="FS29"/>
      <c r="FT29"/>
      <c r="FU29"/>
      <c r="FV29"/>
      <c r="FW29"/>
    </row>
    <row r="30" spans="1:181">
      <c r="A30" s="21">
        <v>5</v>
      </c>
      <c r="B30" s="13">
        <f t="shared" si="64"/>
        <v>6.25</v>
      </c>
      <c r="C30" s="15">
        <f t="shared" si="68"/>
        <v>1.25</v>
      </c>
      <c r="D30" s="15">
        <f t="shared" si="69"/>
        <v>82.002196165177352</v>
      </c>
      <c r="E30" s="15">
        <f t="shared" si="70"/>
        <v>19.752558479379935</v>
      </c>
      <c r="F30" s="15">
        <f t="shared" si="71"/>
        <v>6.37259538810211</v>
      </c>
      <c r="G30" s="15">
        <f t="shared" si="72"/>
        <v>125.8750630689138</v>
      </c>
      <c r="H30" s="15"/>
      <c r="I30" s="15"/>
      <c r="J30" s="16"/>
      <c r="K30"/>
      <c r="L30" s="21">
        <v>5</v>
      </c>
      <c r="M30" s="13">
        <f t="shared" si="65"/>
        <v>6.25</v>
      </c>
      <c r="N30" s="15">
        <f t="shared" si="73"/>
        <v>1.25</v>
      </c>
      <c r="O30" s="15"/>
      <c r="P30" s="13">
        <f t="shared" si="66"/>
        <v>1.25</v>
      </c>
      <c r="Q30" s="13">
        <f t="shared" si="74"/>
        <v>2.316246964380094</v>
      </c>
      <c r="R30" s="13">
        <f t="shared" si="75"/>
        <v>2.6177280225416846</v>
      </c>
      <c r="S30" s="13">
        <f t="shared" si="33"/>
        <v>2.7950849718747373</v>
      </c>
      <c r="T30" s="13">
        <f t="shared" si="33"/>
        <v>2.9753151093623682</v>
      </c>
      <c r="U30" s="13">
        <f t="shared" si="33"/>
        <v>3.1579265349276255</v>
      </c>
      <c r="V30" s="13">
        <f t="shared" si="33"/>
        <v>3.342528982671654</v>
      </c>
      <c r="W30" s="13">
        <f t="shared" si="33"/>
        <v>3.5288099977187781</v>
      </c>
      <c r="X30" s="13">
        <f t="shared" si="33"/>
        <v>3.7165171868296265</v>
      </c>
      <c r="Y30" s="13">
        <f t="shared" si="33"/>
        <v>3.9054449170357022</v>
      </c>
      <c r="Z30" s="13">
        <f t="shared" si="33"/>
        <v>4.0954242759450459</v>
      </c>
      <c r="AA30" s="13">
        <f t="shared" si="33"/>
        <v>4.2863154340295582</v>
      </c>
      <c r="AB30" s="13">
        <f t="shared" si="33"/>
        <v>4.4780017865114798</v>
      </c>
      <c r="AC30" s="13">
        <f t="shared" si="33"/>
        <v>4.6703854230673514</v>
      </c>
      <c r="AD30" s="13">
        <f t="shared" si="33"/>
        <v>4.8633835958106371</v>
      </c>
      <c r="AE30" s="13">
        <f t="shared" si="33"/>
        <v>5.0569259436934617</v>
      </c>
      <c r="AF30" s="13">
        <f t="shared" si="33"/>
        <v>5.2509522945842875</v>
      </c>
      <c r="AG30" s="13">
        <f t="shared" si="33"/>
        <v>5.4454109119514582</v>
      </c>
      <c r="AH30" s="13">
        <f t="shared" si="33"/>
        <v>5.6402570863392389</v>
      </c>
      <c r="AI30" s="13">
        <f t="shared" si="33"/>
        <v>5.8354519962038935</v>
      </c>
      <c r="AJ30" s="13">
        <f t="shared" si="33"/>
        <v>6.030961780678104</v>
      </c>
      <c r="AK30" s="13">
        <f t="shared" si="33"/>
        <v>6.2267567802187358</v>
      </c>
      <c r="AL30" s="13">
        <f t="shared" si="33"/>
        <v>6.4228109111198348</v>
      </c>
      <c r="AM30" s="13">
        <f t="shared" si="33"/>
        <v>6.6191011474368633</v>
      </c>
      <c r="AN30" s="13">
        <f t="shared" si="33"/>
        <v>6.8156070896142484</v>
      </c>
      <c r="AO30" s="13">
        <f t="shared" si="33"/>
        <v>7.0123106035029572</v>
      </c>
      <c r="AP30" s="13">
        <f t="shared" si="33"/>
        <v>7.2091955168382</v>
      </c>
      <c r="AQ30" s="13">
        <f t="shared" si="33"/>
        <v>7.4062473628687284</v>
      </c>
      <c r="AR30" s="13">
        <f t="shared" si="33"/>
        <v>7.6034531628727748</v>
      </c>
      <c r="AS30" s="13">
        <f t="shared" si="33"/>
        <v>7.800801240898271</v>
      </c>
      <c r="AT30" s="14">
        <f t="shared" si="33"/>
        <v>7.9982810653289746</v>
      </c>
      <c r="AV30" s="43">
        <f t="shared" si="0"/>
        <v>1.25</v>
      </c>
      <c r="AW30" s="15"/>
      <c r="AX30" s="15">
        <f t="shared" si="67"/>
        <v>-2.733551766207996E-2</v>
      </c>
      <c r="AY30" s="15">
        <f t="shared" si="34"/>
        <v>12.176168104285829</v>
      </c>
      <c r="AZ30" s="15">
        <f t="shared" si="35"/>
        <v>9.1868963813750302</v>
      </c>
      <c r="BA30" s="15">
        <f t="shared" si="36"/>
        <v>7.8202382782299065</v>
      </c>
      <c r="BB30" s="15">
        <f t="shared" si="37"/>
        <v>6.6735227470294678</v>
      </c>
      <c r="BC30" s="15">
        <f t="shared" si="38"/>
        <v>5.7155003213808877</v>
      </c>
      <c r="BD30" s="15">
        <f t="shared" si="39"/>
        <v>4.9157585928939147</v>
      </c>
      <c r="BE30" s="15">
        <f t="shared" si="40"/>
        <v>4.2472053713106925</v>
      </c>
      <c r="BF30" s="15">
        <f t="shared" si="41"/>
        <v>3.6867608178623406</v>
      </c>
      <c r="BG30" s="15">
        <f t="shared" si="42"/>
        <v>3.2152340431505633</v>
      </c>
      <c r="BH30" s="15">
        <f t="shared" si="43"/>
        <v>2.8168774190987023</v>
      </c>
      <c r="BI30" s="15">
        <f t="shared" si="44"/>
        <v>2.4788559050161223</v>
      </c>
      <c r="BJ30" s="15">
        <f t="shared" si="45"/>
        <v>2.190737352914025</v>
      </c>
      <c r="BK30" s="15">
        <f t="shared" si="46"/>
        <v>1.9440446078177416</v>
      </c>
      <c r="BL30" s="15">
        <f t="shared" si="47"/>
        <v>1.7318793254847102</v>
      </c>
      <c r="BM30" s="15">
        <f t="shared" si="48"/>
        <v>1.5486138472966287</v>
      </c>
      <c r="BN30" s="15">
        <f t="shared" si="49"/>
        <v>1.3896423847050157</v>
      </c>
      <c r="BO30" s="15">
        <f t="shared" si="50"/>
        <v>1.2511816659483077</v>
      </c>
      <c r="BP30" s="15">
        <f t="shared" si="51"/>
        <v>1.1301118260327163</v>
      </c>
      <c r="BQ30" s="15">
        <f t="shared" si="52"/>
        <v>1.0238495755973291</v>
      </c>
      <c r="BR30" s="15">
        <f t="shared" si="53"/>
        <v>0.9302470525192158</v>
      </c>
      <c r="BS30" s="15">
        <f t="shared" si="54"/>
        <v>0.84751102314455229</v>
      </c>
      <c r="BT30" s="15">
        <f t="shared" si="55"/>
        <v>0.77413818162887882</v>
      </c>
      <c r="BU30" s="15">
        <f t="shared" si="56"/>
        <v>0.70886318563413497</v>
      </c>
      <c r="BV30" s="15">
        <f t="shared" si="57"/>
        <v>0.65061678177822158</v>
      </c>
      <c r="BW30" s="15">
        <f t="shared" si="58"/>
        <v>0.59849194113848658</v>
      </c>
      <c r="BX30" s="15">
        <f t="shared" si="59"/>
        <v>0.55171637085772307</v>
      </c>
      <c r="BY30" s="15">
        <f t="shared" si="60"/>
        <v>0.50963011681020398</v>
      </c>
      <c r="BZ30" s="15">
        <f t="shared" si="61"/>
        <v>0.47166724482934003</v>
      </c>
      <c r="CA30" s="15">
        <f t="shared" si="62"/>
        <v>0.43734080080644394</v>
      </c>
      <c r="CB30" s="15">
        <f t="shared" si="63"/>
        <v>0.4062304162623232</v>
      </c>
      <c r="ET30"/>
      <c r="EU30"/>
      <c r="EV30"/>
      <c r="EW30"/>
      <c r="EX30"/>
      <c r="EY30"/>
      <c r="EZ30"/>
      <c r="FA30"/>
      <c r="FB30"/>
      <c r="FC30"/>
      <c r="FD30"/>
      <c r="FE30"/>
      <c r="FF30"/>
      <c r="FG30"/>
      <c r="FH30"/>
      <c r="FI30"/>
      <c r="FJ30"/>
      <c r="FK30"/>
      <c r="FL30"/>
      <c r="FM30"/>
      <c r="FN30"/>
      <c r="FO30"/>
      <c r="FP30"/>
      <c r="FQ30"/>
      <c r="FR30"/>
      <c r="FS30"/>
      <c r="FT30"/>
      <c r="FU30"/>
      <c r="FV30"/>
      <c r="FW30"/>
    </row>
    <row r="31" spans="1:181">
      <c r="A31" s="21">
        <v>6</v>
      </c>
      <c r="B31" s="13">
        <f t="shared" si="64"/>
        <v>6</v>
      </c>
      <c r="C31" s="15">
        <f t="shared" si="68"/>
        <v>1.5</v>
      </c>
      <c r="D31" s="15">
        <f t="shared" si="69"/>
        <v>83.865774821298956</v>
      </c>
      <c r="E31" s="15">
        <f t="shared" si="70"/>
        <v>20.733496373309539</v>
      </c>
      <c r="F31" s="15">
        <f t="shared" si="71"/>
        <v>6.1239904570253687</v>
      </c>
      <c r="G31" s="15">
        <f t="shared" si="72"/>
        <v>126.97173393091771</v>
      </c>
      <c r="H31" s="15"/>
      <c r="I31" s="15"/>
      <c r="J31" s="16"/>
      <c r="K31"/>
      <c r="L31" s="21">
        <v>6</v>
      </c>
      <c r="M31" s="13">
        <f t="shared" si="65"/>
        <v>6</v>
      </c>
      <c r="N31" s="15">
        <f t="shared" si="73"/>
        <v>1.5</v>
      </c>
      <c r="O31" s="15"/>
      <c r="P31" s="13">
        <f t="shared" si="66"/>
        <v>1.5</v>
      </c>
      <c r="Q31" s="13">
        <f t="shared" si="74"/>
        <v>2.460182920028509</v>
      </c>
      <c r="R31" s="13">
        <f t="shared" si="75"/>
        <v>2.745906043549196</v>
      </c>
      <c r="S31" s="13">
        <f t="shared" si="33"/>
        <v>2.9154759474226504</v>
      </c>
      <c r="T31" s="13">
        <f t="shared" si="33"/>
        <v>3.0886890422961004</v>
      </c>
      <c r="U31" s="13">
        <f t="shared" si="33"/>
        <v>3.2649655434629015</v>
      </c>
      <c r="V31" s="13">
        <f t="shared" si="33"/>
        <v>3.443835071544513</v>
      </c>
      <c r="W31" s="13">
        <f t="shared" si="33"/>
        <v>3.6249137920783721</v>
      </c>
      <c r="X31" s="13">
        <f t="shared" si="33"/>
        <v>3.8078865529319543</v>
      </c>
      <c r="Y31" s="13">
        <f t="shared" si="33"/>
        <v>3.9924929555354258</v>
      </c>
      <c r="Z31" s="13">
        <f t="shared" si="33"/>
        <v>4.1785164831552359</v>
      </c>
      <c r="AA31" s="13">
        <f t="shared" si="33"/>
        <v>4.3657759905886149</v>
      </c>
      <c r="AB31" s="13">
        <f t="shared" si="33"/>
        <v>4.5541190146942805</v>
      </c>
      <c r="AC31" s="13">
        <f t="shared" si="33"/>
        <v>4.7434164902525691</v>
      </c>
      <c r="AD31" s="13">
        <f t="shared" si="33"/>
        <v>4.9335585534176039</v>
      </c>
      <c r="AE31" s="13">
        <f t="shared" si="33"/>
        <v>5.1244511901275835</v>
      </c>
      <c r="AF31" s="13">
        <f t="shared" si="33"/>
        <v>5.3160135440008052</v>
      </c>
      <c r="AG31" s="13">
        <f t="shared" si="33"/>
        <v>5.5081757415681656</v>
      </c>
      <c r="AH31" s="13">
        <f t="shared" si="33"/>
        <v>5.7008771254956896</v>
      </c>
      <c r="AI31" s="13">
        <f t="shared" si="33"/>
        <v>5.8940648113165501</v>
      </c>
      <c r="AJ31" s="13">
        <f t="shared" si="33"/>
        <v>6.0876925020897694</v>
      </c>
      <c r="AK31" s="13">
        <f t="shared" si="33"/>
        <v>6.2817195098157637</v>
      </c>
      <c r="AL31" s="13">
        <f t="shared" si="33"/>
        <v>6.476109943476871</v>
      </c>
      <c r="AM31" s="13">
        <f t="shared" si="33"/>
        <v>6.6708320320631671</v>
      </c>
      <c r="AN31" s="13">
        <f t="shared" si="33"/>
        <v>6.8658575575087486</v>
      </c>
      <c r="AO31" s="13">
        <f t="shared" si="33"/>
        <v>7.0611613775638924</v>
      </c>
      <c r="AP31" s="13">
        <f t="shared" si="33"/>
        <v>7.2567210226106944</v>
      </c>
      <c r="AQ31" s="13">
        <f t="shared" si="33"/>
        <v>7.4525163535546834</v>
      </c>
      <c r="AR31" s="13">
        <f t="shared" si="33"/>
        <v>7.6485292703891776</v>
      </c>
      <c r="AS31" s="13">
        <f t="shared" si="33"/>
        <v>7.8447434629820751</v>
      </c>
      <c r="AT31" s="14">
        <f t="shared" si="33"/>
        <v>8.0411441971898494</v>
      </c>
      <c r="AV31" s="43">
        <f t="shared" si="0"/>
        <v>1.5</v>
      </c>
      <c r="AW31" s="15"/>
      <c r="AX31" s="15">
        <f t="shared" si="67"/>
        <v>-1.8982998376444415E-2</v>
      </c>
      <c r="AY31" s="15">
        <f t="shared" si="34"/>
        <v>10.809255094666559</v>
      </c>
      <c r="AZ31" s="15">
        <f t="shared" si="35"/>
        <v>8.6811365514785788</v>
      </c>
      <c r="BA31" s="15">
        <f t="shared" si="36"/>
        <v>7.6009766009664981</v>
      </c>
      <c r="BB31" s="15">
        <f t="shared" si="37"/>
        <v>6.6432167163959877</v>
      </c>
      <c r="BC31" s="15">
        <f t="shared" si="38"/>
        <v>5.8064161561504886</v>
      </c>
      <c r="BD31" s="15">
        <f t="shared" si="39"/>
        <v>5.0815797637978344</v>
      </c>
      <c r="BE31" s="15">
        <f t="shared" si="40"/>
        <v>4.4566371352701584</v>
      </c>
      <c r="BF31" s="15">
        <f t="shared" si="41"/>
        <v>3.9188950589483196</v>
      </c>
      <c r="BG31" s="15">
        <f t="shared" si="42"/>
        <v>3.4562815957411117</v>
      </c>
      <c r="BH31" s="15">
        <f t="shared" si="43"/>
        <v>3.0579000209482698</v>
      </c>
      <c r="BI31" s="15">
        <f t="shared" si="44"/>
        <v>2.7142055219347889</v>
      </c>
      <c r="BJ31" s="15">
        <f t="shared" si="45"/>
        <v>2.416987174304138</v>
      </c>
      <c r="BK31" s="15">
        <f t="shared" si="46"/>
        <v>2.1592584970737496</v>
      </c>
      <c r="BL31" s="15">
        <f t="shared" si="47"/>
        <v>1.9351131464850786</v>
      </c>
      <c r="BM31" s="15">
        <f t="shared" si="48"/>
        <v>1.7395753624613937</v>
      </c>
      <c r="BN31" s="15">
        <f t="shared" si="49"/>
        <v>1.568459587129289</v>
      </c>
      <c r="BO31" s="15">
        <f t="shared" si="50"/>
        <v>1.4182453249279836</v>
      </c>
      <c r="BP31" s="15">
        <f t="shared" si="51"/>
        <v>1.2859688870806998</v>
      </c>
      <c r="BQ31" s="15">
        <f t="shared" si="52"/>
        <v>1.1691314479023811</v>
      </c>
      <c r="BR31" s="15">
        <f t="shared" si="53"/>
        <v>1.0656218461962987</v>
      </c>
      <c r="BS31" s="15">
        <f t="shared" si="54"/>
        <v>0.97365222540934881</v>
      </c>
      <c r="BT31" s="15">
        <f t="shared" si="55"/>
        <v>0.8917046014629465</v>
      </c>
      <c r="BU31" s="15">
        <f t="shared" si="56"/>
        <v>0.81848659972069504</v>
      </c>
      <c r="BV31" s="15">
        <f t="shared" si="57"/>
        <v>0.75289481624693</v>
      </c>
      <c r="BW31" s="15">
        <f t="shared" si="58"/>
        <v>0.69398448327864126</v>
      </c>
      <c r="BX31" s="15">
        <f t="shared" si="59"/>
        <v>0.64094433032469711</v>
      </c>
      <c r="BY31" s="15">
        <f t="shared" si="60"/>
        <v>0.59307572022751909</v>
      </c>
      <c r="BZ31" s="15">
        <f t="shared" si="61"/>
        <v>0.54977530101545846</v>
      </c>
      <c r="CA31" s="15">
        <f t="shared" si="62"/>
        <v>0.51052055029763399</v>
      </c>
      <c r="CB31" s="15">
        <f t="shared" si="63"/>
        <v>0.47485770183192211</v>
      </c>
      <c r="ET31"/>
      <c r="EU31"/>
      <c r="EV31"/>
      <c r="EW31"/>
      <c r="EX31"/>
      <c r="EY31"/>
      <c r="EZ31"/>
      <c r="FA31"/>
      <c r="FB31"/>
      <c r="FC31"/>
      <c r="FD31"/>
      <c r="FE31"/>
      <c r="FF31"/>
      <c r="FG31"/>
      <c r="FH31"/>
      <c r="FI31"/>
      <c r="FJ31"/>
      <c r="FK31"/>
      <c r="FL31"/>
      <c r="FM31"/>
      <c r="FN31"/>
      <c r="FO31"/>
      <c r="FP31"/>
      <c r="FQ31"/>
      <c r="FR31"/>
      <c r="FS31"/>
      <c r="FT31"/>
      <c r="FU31"/>
      <c r="FV31"/>
      <c r="FW31"/>
    </row>
    <row r="32" spans="1:181">
      <c r="A32" s="21">
        <v>7</v>
      </c>
      <c r="B32" s="13">
        <f t="shared" si="64"/>
        <v>5.75</v>
      </c>
      <c r="C32" s="15">
        <f t="shared" si="68"/>
        <v>1.75</v>
      </c>
      <c r="D32" s="15">
        <f t="shared" si="69"/>
        <v>82.820407948768349</v>
      </c>
      <c r="E32" s="15">
        <f t="shared" si="70"/>
        <v>20.835772846258415</v>
      </c>
      <c r="F32" s="15">
        <f t="shared" si="71"/>
        <v>5.8748974838916777</v>
      </c>
      <c r="G32" s="15">
        <f t="shared" si="72"/>
        <v>122.4080294694221</v>
      </c>
      <c r="H32" s="15"/>
      <c r="I32" s="15"/>
      <c r="J32" s="16"/>
      <c r="K32"/>
      <c r="L32" s="21">
        <v>7</v>
      </c>
      <c r="M32" s="13">
        <f t="shared" si="65"/>
        <v>5.75</v>
      </c>
      <c r="N32" s="15">
        <f t="shared" si="73"/>
        <v>1.75</v>
      </c>
      <c r="O32" s="15"/>
      <c r="P32" s="13">
        <f t="shared" si="66"/>
        <v>1.75</v>
      </c>
      <c r="Q32" s="13">
        <f t="shared" si="74"/>
        <v>2.6201145013147804</v>
      </c>
      <c r="R32" s="13">
        <f t="shared" si="75"/>
        <v>2.890069203323685</v>
      </c>
      <c r="S32" s="13">
        <f t="shared" si="33"/>
        <v>3.0516389039334255</v>
      </c>
      <c r="T32" s="13">
        <f t="shared" si="33"/>
        <v>3.2175301086392341</v>
      </c>
      <c r="U32" s="13">
        <f t="shared" si="33"/>
        <v>3.3871079108879893</v>
      </c>
      <c r="V32" s="13">
        <f t="shared" si="33"/>
        <v>3.5598455022655129</v>
      </c>
      <c r="W32" s="13">
        <f t="shared" si="33"/>
        <v>3.7353045391239523</v>
      </c>
      <c r="X32" s="13">
        <f t="shared" si="33"/>
        <v>3.9131189606246322</v>
      </c>
      <c r="Y32" s="13">
        <f t="shared" si="33"/>
        <v>4.0929817981515626</v>
      </c>
      <c r="Z32" s="13">
        <f t="shared" si="33"/>
        <v>4.2746344872983002</v>
      </c>
      <c r="AA32" s="13">
        <f t="shared" si="33"/>
        <v>4.4578582301369787</v>
      </c>
      <c r="AB32" s="13">
        <f t="shared" si="33"/>
        <v>4.6424670165764246</v>
      </c>
      <c r="AC32" s="13">
        <f t="shared" si="33"/>
        <v>4.8283019789569916</v>
      </c>
      <c r="AD32" s="13">
        <f t="shared" si="33"/>
        <v>5.0152268144122853</v>
      </c>
      <c r="AE32" s="13">
        <f t="shared" si="33"/>
        <v>5.2031240615614776</v>
      </c>
      <c r="AF32" s="13">
        <f t="shared" si="33"/>
        <v>5.3918920612341639</v>
      </c>
      <c r="AG32" s="13">
        <f t="shared" si="33"/>
        <v>5.5814424658863953</v>
      </c>
      <c r="AH32" s="13">
        <f t="shared" si="33"/>
        <v>5.7716981903075979</v>
      </c>
      <c r="AI32" s="13">
        <f t="shared" si="33"/>
        <v>5.9625917183721375</v>
      </c>
      <c r="AJ32" s="13">
        <f t="shared" si="33"/>
        <v>6.1540636980778807</v>
      </c>
      <c r="AK32" s="13">
        <f t="shared" si="33"/>
        <v>6.3460617708938187</v>
      </c>
      <c r="AL32" s="13">
        <f t="shared" si="33"/>
        <v>6.538539592294291</v>
      </c>
      <c r="AM32" s="13">
        <f t="shared" si="33"/>
        <v>6.7314560089181299</v>
      </c>
      <c r="AN32" s="13">
        <f t="shared" si="33"/>
        <v>6.9247743645551365</v>
      </c>
      <c r="AO32" s="13">
        <f t="shared" si="33"/>
        <v>7.1184619125201483</v>
      </c>
      <c r="AP32" s="13">
        <f t="shared" si="33"/>
        <v>7.3124893162315114</v>
      </c>
      <c r="AQ32" s="13">
        <f t="shared" si="33"/>
        <v>7.5068302232033997</v>
      </c>
      <c r="AR32" s="13">
        <f t="shared" si="33"/>
        <v>7.7014609003746815</v>
      </c>
      <c r="AS32" s="13">
        <f t="shared" si="33"/>
        <v>7.8963599208749349</v>
      </c>
      <c r="AT32" s="14">
        <f t="shared" si="33"/>
        <v>8.091507894082536</v>
      </c>
      <c r="AV32" s="43">
        <f t="shared" si="0"/>
        <v>1.75</v>
      </c>
      <c r="AW32" s="15"/>
      <c r="AX32" s="15">
        <f t="shared" si="67"/>
        <v>-1.3946692684734674E-2</v>
      </c>
      <c r="AY32" s="15">
        <f t="shared" si="34"/>
        <v>9.2040390130410206</v>
      </c>
      <c r="AZ32" s="15">
        <f t="shared" si="35"/>
        <v>7.8419539122968498</v>
      </c>
      <c r="BA32" s="15">
        <f t="shared" si="36"/>
        <v>7.058594305781031</v>
      </c>
      <c r="BB32" s="15">
        <f t="shared" si="37"/>
        <v>6.3184374416639297</v>
      </c>
      <c r="BC32" s="15">
        <f t="shared" si="38"/>
        <v>5.6381327025987416</v>
      </c>
      <c r="BD32" s="15">
        <f t="shared" si="39"/>
        <v>5.0238840355880772</v>
      </c>
      <c r="BE32" s="15">
        <f t="shared" si="40"/>
        <v>4.4756477175658427</v>
      </c>
      <c r="BF32" s="15">
        <f t="shared" si="41"/>
        <v>3.9899174888928099</v>
      </c>
      <c r="BG32" s="15">
        <f t="shared" si="42"/>
        <v>3.5614880686619874</v>
      </c>
      <c r="BH32" s="15">
        <f t="shared" si="43"/>
        <v>3.1845246984419484</v>
      </c>
      <c r="BI32" s="15">
        <f t="shared" si="44"/>
        <v>2.8531809094538674</v>
      </c>
      <c r="BJ32" s="15">
        <f t="shared" si="45"/>
        <v>2.561931778382156</v>
      </c>
      <c r="BK32" s="15">
        <f t="shared" si="46"/>
        <v>2.3057333748990714</v>
      </c>
      <c r="BL32" s="15">
        <f t="shared" si="47"/>
        <v>2.0800795131254124</v>
      </c>
      <c r="BM32" s="15">
        <f t="shared" si="48"/>
        <v>1.8810004172767043</v>
      </c>
      <c r="BN32" s="15">
        <f t="shared" si="49"/>
        <v>1.7050306825384056</v>
      </c>
      <c r="BO32" s="15">
        <f t="shared" si="50"/>
        <v>1.5491629448067492</v>
      </c>
      <c r="BP32" s="15">
        <f t="shared" si="51"/>
        <v>1.4107968092784327</v>
      </c>
      <c r="BQ32" s="15">
        <f t="shared" si="52"/>
        <v>1.2876883597761133</v>
      </c>
      <c r="BR32" s="15">
        <f t="shared" si="53"/>
        <v>1.1779030102276136</v>
      </c>
      <c r="BS32" s="15">
        <f t="shared" si="54"/>
        <v>1.079772941621713</v>
      </c>
      <c r="BT32" s="15">
        <f t="shared" si="55"/>
        <v>0.99185949378456317</v>
      </c>
      <c r="BU32" s="15">
        <f t="shared" si="56"/>
        <v>0.91292040043035749</v>
      </c>
      <c r="BV32" s="15">
        <f t="shared" si="57"/>
        <v>0.84188151128347588</v>
      </c>
      <c r="BW32" s="15">
        <f t="shared" si="58"/>
        <v>0.77781253944703743</v>
      </c>
      <c r="BX32" s="15">
        <f t="shared" si="59"/>
        <v>0.71990634591906189</v>
      </c>
      <c r="BY32" s="15">
        <f t="shared" si="60"/>
        <v>0.66746128999349463</v>
      </c>
      <c r="BZ32" s="15">
        <f t="shared" si="61"/>
        <v>0.61986621255887397</v>
      </c>
      <c r="CA32" s="15">
        <f t="shared" si="62"/>
        <v>0.57658766634322256</v>
      </c>
      <c r="CB32" s="15">
        <f t="shared" si="63"/>
        <v>0.53715905577451695</v>
      </c>
      <c r="ET32"/>
      <c r="EU32"/>
      <c r="EV32"/>
      <c r="EW32"/>
      <c r="EX32"/>
      <c r="EY32"/>
      <c r="EZ32"/>
      <c r="FA32"/>
      <c r="FB32"/>
      <c r="FC32"/>
      <c r="FD32"/>
      <c r="FE32"/>
      <c r="FF32"/>
      <c r="FG32"/>
      <c r="FH32"/>
      <c r="FI32"/>
      <c r="FJ32"/>
      <c r="FK32"/>
      <c r="FL32"/>
      <c r="FM32"/>
      <c r="FN32"/>
      <c r="FO32"/>
      <c r="FP32"/>
      <c r="FQ32"/>
      <c r="FR32"/>
      <c r="FS32"/>
      <c r="FT32"/>
      <c r="FU32"/>
      <c r="FV32"/>
      <c r="FW32"/>
    </row>
    <row r="33" spans="1:179">
      <c r="A33" s="21">
        <v>8</v>
      </c>
      <c r="B33" s="13">
        <f t="shared" si="64"/>
        <v>5.5</v>
      </c>
      <c r="C33" s="15">
        <f t="shared" si="68"/>
        <v>2</v>
      </c>
      <c r="D33" s="15">
        <f t="shared" si="69"/>
        <v>79.890898759696526</v>
      </c>
      <c r="E33" s="15">
        <f t="shared" si="70"/>
        <v>20.338913338558108</v>
      </c>
      <c r="F33" s="15">
        <f t="shared" si="71"/>
        <v>5.6255027962907738</v>
      </c>
      <c r="G33" s="15">
        <f t="shared" si="72"/>
        <v>114.41661385957435</v>
      </c>
      <c r="H33" s="15"/>
      <c r="I33" s="15"/>
      <c r="J33" s="16"/>
      <c r="K33"/>
      <c r="L33" s="21">
        <v>8</v>
      </c>
      <c r="M33" s="13">
        <f t="shared" si="65"/>
        <v>5.5</v>
      </c>
      <c r="N33" s="15">
        <f t="shared" si="73"/>
        <v>2</v>
      </c>
      <c r="O33" s="15"/>
      <c r="P33" s="13">
        <f t="shared" si="66"/>
        <v>2</v>
      </c>
      <c r="Q33" s="13">
        <f t="shared" si="74"/>
        <v>2.7932955446926844</v>
      </c>
      <c r="R33" s="13">
        <f t="shared" si="75"/>
        <v>3.047950130825634</v>
      </c>
      <c r="S33" s="13">
        <f t="shared" si="33"/>
        <v>3.2015621187164243</v>
      </c>
      <c r="T33" s="13">
        <f t="shared" si="33"/>
        <v>3.3600595232822887</v>
      </c>
      <c r="U33" s="13">
        <f t="shared" si="33"/>
        <v>3.5227829907617076</v>
      </c>
      <c r="V33" s="13">
        <f t="shared" si="33"/>
        <v>3.6891733491393435</v>
      </c>
      <c r="W33" s="13">
        <f t="shared" si="33"/>
        <v>3.8587562763149479</v>
      </c>
      <c r="X33" s="13">
        <f t="shared" si="33"/>
        <v>4.0311288741492746</v>
      </c>
      <c r="Y33" s="13">
        <f t="shared" si="33"/>
        <v>4.2059481689626184</v>
      </c>
      <c r="Z33" s="13">
        <f t="shared" si="33"/>
        <v>4.3829214001622256</v>
      </c>
      <c r="AA33" s="13">
        <f t="shared" si="33"/>
        <v>4.5617978911828176</v>
      </c>
      <c r="AB33" s="13">
        <f t="shared" si="33"/>
        <v>4.7423622805517507</v>
      </c>
      <c r="AC33" s="13">
        <f t="shared" si="33"/>
        <v>4.924428900898052</v>
      </c>
      <c r="AD33" s="13">
        <f t="shared" si="33"/>
        <v>5.107837115648854</v>
      </c>
      <c r="AE33" s="13">
        <f t="shared" si="33"/>
        <v>5.2924474489596971</v>
      </c>
      <c r="AF33" s="13">
        <f t="shared" si="33"/>
        <v>5.4781383699209352</v>
      </c>
      <c r="AG33" s="13">
        <f t="shared" si="33"/>
        <v>5.6648036153074193</v>
      </c>
      <c r="AH33" s="13">
        <f t="shared" si="33"/>
        <v>5.8523499553598128</v>
      </c>
      <c r="AI33" s="13">
        <f t="shared" si="33"/>
        <v>6.0406953242155828</v>
      </c>
      <c r="AJ33" s="13">
        <f t="shared" si="33"/>
        <v>6.2297672508690081</v>
      </c>
      <c r="AK33" s="13">
        <f t="shared" si="33"/>
        <v>6.4195015382816125</v>
      </c>
      <c r="AL33" s="13">
        <f t="shared" si="33"/>
        <v>6.6098411478642962</v>
      </c>
      <c r="AM33" s="13">
        <f t="shared" si="33"/>
        <v>6.800735254367722</v>
      </c>
      <c r="AN33" s="13">
        <f t="shared" si="33"/>
        <v>6.9921384425653361</v>
      </c>
      <c r="AO33" s="13">
        <f t="shared" si="33"/>
        <v>7.1840100222647241</v>
      </c>
      <c r="AP33" s="13">
        <f t="shared" si="33"/>
        <v>7.37631344236401</v>
      </c>
      <c r="AQ33" s="13">
        <f t="shared" si="33"/>
        <v>7.5690157880665039</v>
      </c>
      <c r="AR33" s="13">
        <f t="shared" si="33"/>
        <v>7.7620873481300121</v>
      </c>
      <c r="AS33" s="13">
        <f t="shared" si="33"/>
        <v>7.9555012412795216</v>
      </c>
      <c r="AT33" s="14">
        <f t="shared" si="33"/>
        <v>8.149233092751734</v>
      </c>
      <c r="AV33" s="43">
        <f t="shared" si="0"/>
        <v>2</v>
      </c>
      <c r="AW33" s="15"/>
      <c r="AX33" s="15">
        <f t="shared" si="67"/>
        <v>-1.0677936586749984E-2</v>
      </c>
      <c r="AY33" s="15">
        <f t="shared" si="34"/>
        <v>7.6379457133528916</v>
      </c>
      <c r="AZ33" s="15">
        <f t="shared" si="35"/>
        <v>6.8694177518570951</v>
      </c>
      <c r="BA33" s="15">
        <f t="shared" si="36"/>
        <v>6.3470791847251764</v>
      </c>
      <c r="BB33" s="15">
        <f t="shared" si="37"/>
        <v>5.8142398332023655</v>
      </c>
      <c r="BC33" s="15">
        <f t="shared" si="38"/>
        <v>5.2949391319084578</v>
      </c>
      <c r="BD33" s="15">
        <f t="shared" si="39"/>
        <v>4.8035759719956612</v>
      </c>
      <c r="BE33" s="15">
        <f t="shared" si="40"/>
        <v>4.3477871469890781</v>
      </c>
      <c r="BF33" s="15">
        <f t="shared" si="41"/>
        <v>3.9306922908477926</v>
      </c>
      <c r="BG33" s="15">
        <f t="shared" si="42"/>
        <v>3.552535076424904</v>
      </c>
      <c r="BH33" s="15">
        <f t="shared" si="43"/>
        <v>3.2118298108451988</v>
      </c>
      <c r="BI33" s="15">
        <f t="shared" si="44"/>
        <v>2.9061341789635482</v>
      </c>
      <c r="BJ33" s="15">
        <f t="shared" si="45"/>
        <v>2.6325532801013312</v>
      </c>
      <c r="BK33" s="15">
        <f t="shared" si="46"/>
        <v>2.3880571978321465</v>
      </c>
      <c r="BL33" s="15">
        <f t="shared" si="47"/>
        <v>2.1696726392514791</v>
      </c>
      <c r="BM33" s="15">
        <f t="shared" si="48"/>
        <v>1.9745915077326104</v>
      </c>
      <c r="BN33" s="15">
        <f t="shared" si="49"/>
        <v>1.8002259467875605</v>
      </c>
      <c r="BO33" s="15">
        <f t="shared" si="50"/>
        <v>1.6442297921917046</v>
      </c>
      <c r="BP33" s="15">
        <f t="shared" si="51"/>
        <v>1.5044996566557705</v>
      </c>
      <c r="BQ33" s="15">
        <f t="shared" si="52"/>
        <v>1.3791642749712199</v>
      </c>
      <c r="BR33" s="15">
        <f t="shared" si="53"/>
        <v>1.2665676399303851</v>
      </c>
      <c r="BS33" s="15">
        <f t="shared" si="54"/>
        <v>1.1652493988851749</v>
      </c>
      <c r="BT33" s="15">
        <f t="shared" si="55"/>
        <v>1.0739246266148901</v>
      </c>
      <c r="BU33" s="15">
        <f t="shared" si="56"/>
        <v>0.99146421106503524</v>
      </c>
      <c r="BV33" s="15">
        <f t="shared" si="57"/>
        <v>0.91687652586131663</v>
      </c>
      <c r="BW33" s="15">
        <f t="shared" si="58"/>
        <v>0.84929070978427257</v>
      </c>
      <c r="BX33" s="15">
        <f t="shared" si="59"/>
        <v>0.78794165641960423</v>
      </c>
      <c r="BY33" s="15">
        <f t="shared" si="60"/>
        <v>0.73215668886129792</v>
      </c>
      <c r="BZ33" s="15">
        <f t="shared" si="61"/>
        <v>0.68134382277545602</v>
      </c>
      <c r="CA33" s="15">
        <f t="shared" si="62"/>
        <v>0.63498148536335086</v>
      </c>
      <c r="CB33" s="15">
        <f t="shared" si="63"/>
        <v>0.59260954408648159</v>
      </c>
      <c r="ET33"/>
      <c r="EU33"/>
      <c r="EV33"/>
      <c r="EW33"/>
      <c r="EX33"/>
      <c r="EY33"/>
      <c r="EZ33"/>
      <c r="FA33"/>
      <c r="FB33"/>
      <c r="FC33"/>
      <c r="FD33"/>
      <c r="FE33"/>
      <c r="FF33"/>
      <c r="FG33"/>
      <c r="FH33"/>
      <c r="FI33"/>
      <c r="FJ33"/>
      <c r="FK33"/>
      <c r="FL33"/>
      <c r="FM33"/>
      <c r="FN33"/>
      <c r="FO33"/>
      <c r="FP33"/>
      <c r="FQ33"/>
      <c r="FR33"/>
      <c r="FS33"/>
      <c r="FT33"/>
      <c r="FU33"/>
      <c r="FV33"/>
      <c r="FW33"/>
    </row>
    <row r="34" spans="1:179">
      <c r="A34" s="21">
        <v>9</v>
      </c>
      <c r="B34" s="13">
        <f t="shared" si="64"/>
        <v>5.25</v>
      </c>
      <c r="C34" s="15">
        <f t="shared" si="68"/>
        <v>2.25</v>
      </c>
      <c r="D34" s="15">
        <f t="shared" si="69"/>
        <v>75.848540442302053</v>
      </c>
      <c r="E34" s="15">
        <f t="shared" si="70"/>
        <v>19.467429900249822</v>
      </c>
      <c r="F34" s="15">
        <f t="shared" si="71"/>
        <v>5.3759122116470648</v>
      </c>
      <c r="G34" s="15">
        <f t="shared" si="72"/>
        <v>104.65519413013622</v>
      </c>
      <c r="H34" s="15"/>
      <c r="I34" s="15"/>
      <c r="J34" s="16"/>
      <c r="K34"/>
      <c r="L34" s="21">
        <v>9</v>
      </c>
      <c r="M34" s="13">
        <f t="shared" si="65"/>
        <v>5.25</v>
      </c>
      <c r="N34" s="15">
        <f t="shared" si="73"/>
        <v>2.25</v>
      </c>
      <c r="O34" s="15"/>
      <c r="P34" s="13">
        <f t="shared" si="66"/>
        <v>2.25</v>
      </c>
      <c r="Q34" s="13">
        <f t="shared" si="74"/>
        <v>2.9774149861918811</v>
      </c>
      <c r="R34" s="13">
        <f t="shared" si="75"/>
        <v>3.2175301086392336</v>
      </c>
      <c r="S34" s="13">
        <f t="shared" si="33"/>
        <v>3.3634060117684275</v>
      </c>
      <c r="T34" s="13">
        <f t="shared" si="33"/>
        <v>3.5146123541579946</v>
      </c>
      <c r="U34" s="13">
        <f t="shared" si="33"/>
        <v>3.6704904304465908</v>
      </c>
      <c r="V34" s="13">
        <f t="shared" ref="V34:AK49" si="76">SQRT(V$23^2+$N34^2)</f>
        <v>3.8304699450589612</v>
      </c>
      <c r="W34" s="13">
        <f t="shared" si="76"/>
        <v>3.9940580867083044</v>
      </c>
      <c r="X34" s="13">
        <f t="shared" si="76"/>
        <v>4.1608292442733097</v>
      </c>
      <c r="Y34" s="13">
        <f t="shared" si="76"/>
        <v>4.3304156844349251</v>
      </c>
      <c r="Z34" s="13">
        <f t="shared" si="76"/>
        <v>4.5024993059410905</v>
      </c>
      <c r="AA34" s="13">
        <f t="shared" si="76"/>
        <v>4.6768044645890425</v>
      </c>
      <c r="AB34" s="13">
        <f t="shared" si="76"/>
        <v>4.853091798019074</v>
      </c>
      <c r="AC34" s="13">
        <f t="shared" si="76"/>
        <v>5.0311529493745271</v>
      </c>
      <c r="AD34" s="13">
        <f t="shared" si="76"/>
        <v>5.2108060796771172</v>
      </c>
      <c r="AE34" s="13">
        <f t="shared" si="76"/>
        <v>5.3918920612341639</v>
      </c>
      <c r="AF34" s="13">
        <f t="shared" si="76"/>
        <v>5.5742712528186136</v>
      </c>
      <c r="AG34" s="13">
        <f t="shared" si="76"/>
        <v>5.757820768311567</v>
      </c>
      <c r="AH34" s="13">
        <f t="shared" si="76"/>
        <v>5.9424321620023566</v>
      </c>
      <c r="AI34" s="13">
        <f t="shared" si="76"/>
        <v>6.1280094647446495</v>
      </c>
      <c r="AJ34" s="13">
        <f t="shared" si="76"/>
        <v>6.3144675151591363</v>
      </c>
      <c r="AK34" s="13">
        <f t="shared" si="76"/>
        <v>6.5017305388642486</v>
      </c>
      <c r="AL34" s="13">
        <f t="shared" ref="AL34:AT43" si="77">SQRT(AL$23^2+$N34^2)</f>
        <v>6.6897309362933273</v>
      </c>
      <c r="AM34" s="13">
        <f t="shared" si="77"/>
        <v>6.8784082460988021</v>
      </c>
      <c r="AN34" s="13">
        <f t="shared" si="77"/>
        <v>7.0677082565708664</v>
      </c>
      <c r="AO34" s="13">
        <f t="shared" si="77"/>
        <v>7.2575822420417673</v>
      </c>
      <c r="AP34" s="13">
        <f t="shared" si="77"/>
        <v>7.4479863050357444</v>
      </c>
      <c r="AQ34" s="13">
        <f t="shared" si="77"/>
        <v>7.638880808076534</v>
      </c>
      <c r="AR34" s="13">
        <f t="shared" si="77"/>
        <v>7.8302298816829126</v>
      </c>
      <c r="AS34" s="13">
        <f t="shared" si="77"/>
        <v>8.0220009972574804</v>
      </c>
      <c r="AT34" s="14">
        <f t="shared" si="77"/>
        <v>8.2141645953803479</v>
      </c>
      <c r="AV34" s="43">
        <f t="shared" si="0"/>
        <v>2.25</v>
      </c>
      <c r="AW34" s="15"/>
      <c r="AX34" s="15">
        <f t="shared" si="67"/>
        <v>-8.4368881673086288E-3</v>
      </c>
      <c r="AY34" s="15">
        <f t="shared" si="34"/>
        <v>6.2445012681843544</v>
      </c>
      <c r="AZ34" s="15">
        <f t="shared" si="35"/>
        <v>5.8951101191345012</v>
      </c>
      <c r="BA34" s="15">
        <f t="shared" si="36"/>
        <v>5.5800548631862696</v>
      </c>
      <c r="BB34" s="15">
        <f t="shared" si="37"/>
        <v>5.2239248525881807</v>
      </c>
      <c r="BC34" s="15">
        <f t="shared" si="38"/>
        <v>4.8509931850800641</v>
      </c>
      <c r="BD34" s="15">
        <f t="shared" si="39"/>
        <v>4.4783134737009576</v>
      </c>
      <c r="BE34" s="15">
        <f t="shared" si="40"/>
        <v>4.1171981507005979</v>
      </c>
      <c r="BF34" s="15">
        <f t="shared" si="41"/>
        <v>3.774637484185182</v>
      </c>
      <c r="BG34" s="15">
        <f t="shared" si="42"/>
        <v>3.45450428808621</v>
      </c>
      <c r="BH34" s="15">
        <f t="shared" si="43"/>
        <v>3.1585060365120499</v>
      </c>
      <c r="BI34" s="15">
        <f t="shared" si="44"/>
        <v>2.8869022308099805</v>
      </c>
      <c r="BJ34" s="15">
        <f t="shared" si="45"/>
        <v>2.6390261762370302</v>
      </c>
      <c r="BK34" s="15">
        <f t="shared" si="46"/>
        <v>2.4136537895771313</v>
      </c>
      <c r="BL34" s="15">
        <f t="shared" si="47"/>
        <v>2.209257634990093</v>
      </c>
      <c r="BM34" s="15">
        <f t="shared" si="48"/>
        <v>2.0241773666014993</v>
      </c>
      <c r="BN34" s="15">
        <f t="shared" si="49"/>
        <v>1.8567306709364384</v>
      </c>
      <c r="BO34" s="15">
        <f t="shared" si="50"/>
        <v>1.7052826728799844</v>
      </c>
      <c r="BP34" s="15">
        <f t="shared" si="51"/>
        <v>1.5682868655384454</v>
      </c>
      <c r="BQ34" s="15">
        <f t="shared" si="52"/>
        <v>1.4443068810384627</v>
      </c>
      <c r="BR34" s="15">
        <f t="shared" si="53"/>
        <v>1.3320256477629093</v>
      </c>
      <c r="BS34" s="15">
        <f t="shared" si="54"/>
        <v>1.2302464710024603</v>
      </c>
      <c r="BT34" s="15">
        <f t="shared" si="55"/>
        <v>1.1378891413155379</v>
      </c>
      <c r="BU34" s="15">
        <f t="shared" si="56"/>
        <v>1.0539831655561454</v>
      </c>
      <c r="BV34" s="15">
        <f t="shared" si="57"/>
        <v>0.97765951181956612</v>
      </c>
      <c r="BW34" s="15">
        <f t="shared" si="58"/>
        <v>0.90814177355990333</v>
      </c>
      <c r="BX34" s="15">
        <f t="shared" si="59"/>
        <v>0.84473732565380655</v>
      </c>
      <c r="BY34" s="15">
        <f t="shared" si="60"/>
        <v>0.78682882006294619</v>
      </c>
      <c r="BZ34" s="15">
        <f t="shared" si="61"/>
        <v>0.73386621816674735</v>
      </c>
      <c r="CA34" s="15">
        <f t="shared" si="62"/>
        <v>0.68535945766062933</v>
      </c>
      <c r="CB34" s="15">
        <f t="shared" si="63"/>
        <v>0.64087178794126454</v>
      </c>
      <c r="ET34"/>
      <c r="EU34"/>
      <c r="EV34"/>
      <c r="EW34"/>
      <c r="EX34"/>
      <c r="EY34"/>
      <c r="EZ34"/>
      <c r="FA34"/>
      <c r="FB34"/>
      <c r="FC34"/>
      <c r="FD34"/>
      <c r="FE34"/>
      <c r="FF34"/>
      <c r="FG34"/>
      <c r="FH34"/>
      <c r="FI34"/>
      <c r="FJ34"/>
      <c r="FK34"/>
      <c r="FL34"/>
      <c r="FM34"/>
      <c r="FN34"/>
      <c r="FO34"/>
      <c r="FP34"/>
      <c r="FQ34"/>
      <c r="FR34"/>
      <c r="FS34"/>
      <c r="FT34"/>
      <c r="FU34"/>
      <c r="FV34"/>
      <c r="FW34"/>
    </row>
    <row r="35" spans="1:179">
      <c r="A35" s="21">
        <v>10</v>
      </c>
      <c r="B35" s="13">
        <f t="shared" si="64"/>
        <v>5</v>
      </c>
      <c r="C35" s="15">
        <f t="shared" si="68"/>
        <v>2.5</v>
      </c>
      <c r="D35" s="15">
        <f t="shared" si="69"/>
        <v>71.232852130042176</v>
      </c>
      <c r="E35" s="15">
        <f t="shared" si="70"/>
        <v>18.385174071543027</v>
      </c>
      <c r="F35" s="15">
        <f t="shared" si="71"/>
        <v>5.1261913049072234</v>
      </c>
      <c r="G35" s="15">
        <f t="shared" si="72"/>
        <v>94.245919464749605</v>
      </c>
      <c r="H35" s="15"/>
      <c r="I35" s="15"/>
      <c r="J35" s="16"/>
      <c r="K35"/>
      <c r="L35" s="21">
        <v>10</v>
      </c>
      <c r="M35" s="13">
        <f t="shared" si="65"/>
        <v>5</v>
      </c>
      <c r="N35" s="15">
        <f t="shared" si="73"/>
        <v>2.5</v>
      </c>
      <c r="O35" s="15"/>
      <c r="P35" s="13">
        <f t="shared" si="66"/>
        <v>2.5</v>
      </c>
      <c r="Q35" s="13">
        <f t="shared" si="74"/>
        <v>3.1705677724975381</v>
      </c>
      <c r="R35" s="13">
        <f t="shared" si="75"/>
        <v>3.3970575502926055</v>
      </c>
      <c r="S35" s="13">
        <f t="shared" ref="S35:AG44" si="78">SQRT(S$23^2+$N35^2)</f>
        <v>3.5355339059327378</v>
      </c>
      <c r="T35" s="13">
        <f t="shared" si="78"/>
        <v>3.6796738985948201</v>
      </c>
      <c r="U35" s="13">
        <f t="shared" si="78"/>
        <v>3.8288379438153295</v>
      </c>
      <c r="V35" s="13">
        <f t="shared" si="78"/>
        <v>3.9824615503479754</v>
      </c>
      <c r="W35" s="13">
        <f t="shared" si="78"/>
        <v>4.1400483088968905</v>
      </c>
      <c r="X35" s="13">
        <f t="shared" si="78"/>
        <v>4.3011626335213133</v>
      </c>
      <c r="Y35" s="13">
        <f t="shared" si="78"/>
        <v>4.4654227123532211</v>
      </c>
      <c r="Z35" s="13">
        <f t="shared" si="78"/>
        <v>4.6324939287601881</v>
      </c>
      <c r="AA35" s="13">
        <f t="shared" si="78"/>
        <v>4.8020828814171876</v>
      </c>
      <c r="AB35" s="13">
        <f t="shared" si="78"/>
        <v>4.9739320461783558</v>
      </c>
      <c r="AC35" s="13">
        <f t="shared" si="78"/>
        <v>5.1478150704935004</v>
      </c>
      <c r="AD35" s="13">
        <f t="shared" si="78"/>
        <v>5.3235326616824663</v>
      </c>
      <c r="AE35" s="13">
        <f t="shared" si="78"/>
        <v>5.5009090157900271</v>
      </c>
      <c r="AF35" s="13">
        <f t="shared" si="78"/>
        <v>5.6797887284651702</v>
      </c>
      <c r="AG35" s="13">
        <f t="shared" si="78"/>
        <v>5.8600341295934451</v>
      </c>
      <c r="AH35" s="13">
        <f t="shared" si="76"/>
        <v>6.0415229867972862</v>
      </c>
      <c r="AI35" s="13">
        <f t="shared" si="76"/>
        <v>6.2241465278381742</v>
      </c>
      <c r="AJ35" s="13">
        <f t="shared" si="76"/>
        <v>6.4078077374403177</v>
      </c>
      <c r="AK35" s="13">
        <f t="shared" si="76"/>
        <v>6.5924198895398032</v>
      </c>
      <c r="AL35" s="13">
        <f t="shared" si="77"/>
        <v>6.7779052811322167</v>
      </c>
      <c r="AM35" s="13">
        <f t="shared" si="77"/>
        <v>6.9641941385920596</v>
      </c>
      <c r="AN35" s="13">
        <f t="shared" si="77"/>
        <v>7.15122367151245</v>
      </c>
      <c r="AO35" s="13">
        <f t="shared" si="77"/>
        <v>7.3389372527635093</v>
      </c>
      <c r="AP35" s="13">
        <f t="shared" si="77"/>
        <v>7.5272837066235256</v>
      </c>
      <c r="AQ35" s="13">
        <f t="shared" si="77"/>
        <v>7.7162166895441704</v>
      </c>
      <c r="AR35" s="13">
        <f t="shared" si="77"/>
        <v>7.9056941504209481</v>
      </c>
      <c r="AS35" s="13">
        <f t="shared" si="77"/>
        <v>8.0956778592036382</v>
      </c>
      <c r="AT35" s="14">
        <f t="shared" si="77"/>
        <v>8.2861329943466391</v>
      </c>
      <c r="AV35" s="43">
        <f t="shared" si="0"/>
        <v>2.5</v>
      </c>
      <c r="AW35" s="15"/>
      <c r="AX35" s="15">
        <f t="shared" si="67"/>
        <v>-6.8338794155199901E-3</v>
      </c>
      <c r="AY35" s="15">
        <f t="shared" si="34"/>
        <v>5.0668889370552854</v>
      </c>
      <c r="AZ35" s="15">
        <f t="shared" si="35"/>
        <v>4.9926923183843002</v>
      </c>
      <c r="BA35" s="15">
        <f t="shared" si="36"/>
        <v>4.8306954238856692</v>
      </c>
      <c r="BB35" s="15">
        <f t="shared" si="37"/>
        <v>4.6141514699291282</v>
      </c>
      <c r="BC35" s="15">
        <f t="shared" si="38"/>
        <v>4.3639001404498572</v>
      </c>
      <c r="BD35" s="15">
        <f t="shared" si="39"/>
        <v>4.0961812774693218</v>
      </c>
      <c r="BE35" s="15">
        <f t="shared" si="40"/>
        <v>3.823071343275279</v>
      </c>
      <c r="BF35" s="15">
        <f t="shared" si="41"/>
        <v>3.5531571004074576</v>
      </c>
      <c r="BG35" s="15">
        <f t="shared" si="42"/>
        <v>3.2922502847959927</v>
      </c>
      <c r="BH35" s="15">
        <f t="shared" si="43"/>
        <v>3.044042026071458</v>
      </c>
      <c r="BI35" s="15">
        <f t="shared" si="44"/>
        <v>2.8106554921317217</v>
      </c>
      <c r="BJ35" s="15">
        <f t="shared" si="45"/>
        <v>2.5930889332976204</v>
      </c>
      <c r="BK35" s="15">
        <f t="shared" si="46"/>
        <v>2.3915580179025562</v>
      </c>
      <c r="BL35" s="15">
        <f t="shared" si="47"/>
        <v>2.2057529934624514</v>
      </c>
      <c r="BM35" s="15">
        <f t="shared" si="48"/>
        <v>2.0350274082098236</v>
      </c>
      <c r="BN35" s="15">
        <f t="shared" si="49"/>
        <v>1.8785337254344394</v>
      </c>
      <c r="BO35" s="15">
        <f t="shared" si="50"/>
        <v>1.7353187667998098</v>
      </c>
      <c r="BP35" s="15">
        <f t="shared" si="51"/>
        <v>1.6043893686972579</v>
      </c>
      <c r="BQ35" s="15">
        <f t="shared" si="52"/>
        <v>1.484756315145658</v>
      </c>
      <c r="BR35" s="15">
        <f t="shared" si="53"/>
        <v>1.375462662699338</v>
      </c>
      <c r="BS35" s="15">
        <f t="shared" si="54"/>
        <v>1.2756010138179585</v>
      </c>
      <c r="BT35" s="15">
        <f t="shared" si="55"/>
        <v>1.1843230861003393</v>
      </c>
      <c r="BU35" s="15">
        <f t="shared" si="56"/>
        <v>1.100844007541377</v>
      </c>
      <c r="BV35" s="15">
        <f t="shared" si="57"/>
        <v>1.0244430832667346</v>
      </c>
      <c r="BW35" s="15">
        <f t="shared" si="58"/>
        <v>0.95446227438685749</v>
      </c>
      <c r="BX35" s="15">
        <f t="shared" si="59"/>
        <v>0.89030326112961056</v>
      </c>
      <c r="BY35" s="15">
        <f t="shared" si="60"/>
        <v>0.83142369572042607</v>
      </c>
      <c r="BZ35" s="15">
        <f t="shared" si="61"/>
        <v>0.77733305894655003</v>
      </c>
      <c r="CA35" s="15">
        <f t="shared" si="62"/>
        <v>0.72758839782112172</v>
      </c>
      <c r="CB35" s="15">
        <f t="shared" si="63"/>
        <v>0.68179012522228</v>
      </c>
      <c r="ET35"/>
      <c r="EU35"/>
      <c r="EV35"/>
      <c r="EW35"/>
      <c r="EX35"/>
      <c r="EY35"/>
      <c r="EZ35"/>
      <c r="FA35"/>
      <c r="FB35"/>
      <c r="FC35"/>
      <c r="FD35"/>
      <c r="FE35"/>
      <c r="FF35"/>
      <c r="FG35"/>
      <c r="FH35"/>
      <c r="FI35"/>
      <c r="FJ35"/>
      <c r="FK35"/>
      <c r="FL35"/>
      <c r="FM35"/>
      <c r="FN35"/>
      <c r="FO35"/>
      <c r="FP35"/>
      <c r="FQ35"/>
      <c r="FR35"/>
      <c r="FS35"/>
      <c r="FT35"/>
      <c r="FU35"/>
      <c r="FV35"/>
      <c r="FW35"/>
    </row>
    <row r="36" spans="1:179">
      <c r="A36" s="21">
        <v>11</v>
      </c>
      <c r="B36" s="13">
        <f t="shared" si="64"/>
        <v>4.75</v>
      </c>
      <c r="C36" s="15">
        <f t="shared" si="68"/>
        <v>2.75</v>
      </c>
      <c r="D36" s="15">
        <f t="shared" si="69"/>
        <v>66.402204298662127</v>
      </c>
      <c r="E36" s="15">
        <f t="shared" si="70"/>
        <v>17.204382053588038</v>
      </c>
      <c r="F36" s="15">
        <f t="shared" si="71"/>
        <v>4.8763824186860267</v>
      </c>
      <c r="G36" s="15">
        <f t="shared" si="72"/>
        <v>83.895146170474106</v>
      </c>
      <c r="H36" s="15"/>
      <c r="I36" s="15"/>
      <c r="J36" s="16"/>
      <c r="K36"/>
      <c r="L36" s="21">
        <v>11</v>
      </c>
      <c r="M36" s="13">
        <f t="shared" si="65"/>
        <v>4.75</v>
      </c>
      <c r="N36" s="15">
        <f t="shared" si="73"/>
        <v>2.75</v>
      </c>
      <c r="O36" s="15"/>
      <c r="P36" s="13">
        <f t="shared" si="66"/>
        <v>2.75</v>
      </c>
      <c r="Q36" s="13">
        <f t="shared" si="74"/>
        <v>3.3712015662075148</v>
      </c>
      <c r="R36" s="13">
        <f t="shared" si="75"/>
        <v>3.5850383540486703</v>
      </c>
      <c r="S36" s="13">
        <f t="shared" si="78"/>
        <v>3.7165171868296265</v>
      </c>
      <c r="T36" s="13">
        <f t="shared" si="78"/>
        <v>3.8538941345086273</v>
      </c>
      <c r="U36" s="13">
        <f t="shared" si="78"/>
        <v>3.996561021678513</v>
      </c>
      <c r="V36" s="13">
        <f t="shared" si="78"/>
        <v>4.1439715249986939</v>
      </c>
      <c r="W36" s="13">
        <f t="shared" si="78"/>
        <v>4.2956373217486599</v>
      </c>
      <c r="X36" s="13">
        <f t="shared" si="78"/>
        <v>4.4511234536912143</v>
      </c>
      <c r="Y36" s="13">
        <f t="shared" si="78"/>
        <v>4.6100433837438022</v>
      </c>
      <c r="Z36" s="13">
        <f t="shared" si="78"/>
        <v>4.7720540650751229</v>
      </c>
      <c r="AA36" s="13">
        <f t="shared" si="78"/>
        <v>4.9368512231988522</v>
      </c>
      <c r="AB36" s="13">
        <f t="shared" si="78"/>
        <v>5.1041649659861115</v>
      </c>
      <c r="AC36" s="13">
        <f t="shared" si="78"/>
        <v>5.273755777432247</v>
      </c>
      <c r="AD36" s="13">
        <f t="shared" si="78"/>
        <v>5.4454109119514573</v>
      </c>
      <c r="AE36" s="13">
        <f t="shared" si="78"/>
        <v>5.6189411813970791</v>
      </c>
      <c r="AF36" s="13">
        <f t="shared" si="78"/>
        <v>5.7941781125540146</v>
      </c>
      <c r="AG36" s="13">
        <f t="shared" si="78"/>
        <v>5.9709714452507647</v>
      </c>
      <c r="AH36" s="13">
        <f t="shared" si="76"/>
        <v>6.149186938124422</v>
      </c>
      <c r="AI36" s="13">
        <f t="shared" si="76"/>
        <v>6.3287044487793871</v>
      </c>
      <c r="AJ36" s="13">
        <f t="shared" si="76"/>
        <v>6.5094162564703142</v>
      </c>
      <c r="AK36" s="13">
        <f t="shared" si="76"/>
        <v>6.6912255977511323</v>
      </c>
      <c r="AL36" s="13">
        <f t="shared" si="77"/>
        <v>6.8740453882702868</v>
      </c>
      <c r="AM36" s="13">
        <f t="shared" si="77"/>
        <v>7.0577971067465519</v>
      </c>
      <c r="AN36" s="13">
        <f t="shared" si="77"/>
        <v>7.2424098199425311</v>
      </c>
      <c r="AO36" s="13">
        <f t="shared" si="77"/>
        <v>7.4278193300591262</v>
      </c>
      <c r="AP36" s="13">
        <f t="shared" si="77"/>
        <v>7.6139674283516605</v>
      </c>
      <c r="AQ36" s="13">
        <f t="shared" si="77"/>
        <v>7.800801240898271</v>
      </c>
      <c r="AR36" s="13">
        <f t="shared" si="77"/>
        <v>7.9882726543352289</v>
      </c>
      <c r="AS36" s="13">
        <f t="shared" si="77"/>
        <v>8.1763378110251779</v>
      </c>
      <c r="AT36" s="14">
        <f t="shared" si="77"/>
        <v>8.3649566645619871</v>
      </c>
      <c r="AV36" s="43">
        <f t="shared" si="0"/>
        <v>2.75</v>
      </c>
      <c r="AW36" s="15"/>
      <c r="AX36" s="15">
        <f t="shared" si="67"/>
        <v>-5.6478342277024706E-3</v>
      </c>
      <c r="AY36" s="15">
        <f t="shared" si="34"/>
        <v>4.1007618197046183</v>
      </c>
      <c r="AZ36" s="15">
        <f t="shared" si="35"/>
        <v>4.1952181660078685</v>
      </c>
      <c r="BA36" s="15">
        <f t="shared" si="36"/>
        <v>4.139841126318073</v>
      </c>
      <c r="BB36" s="15">
        <f t="shared" si="37"/>
        <v>4.0273923634782101</v>
      </c>
      <c r="BC36" s="15">
        <f t="shared" si="38"/>
        <v>3.8740555471081026</v>
      </c>
      <c r="BD36" s="15">
        <f t="shared" si="39"/>
        <v>3.6935606885969743</v>
      </c>
      <c r="BE36" s="15">
        <f t="shared" si="40"/>
        <v>3.497007545947461</v>
      </c>
      <c r="BF36" s="15">
        <f t="shared" si="41"/>
        <v>3.2930146350360632</v>
      </c>
      <c r="BG36" s="15">
        <f t="shared" si="42"/>
        <v>3.0880303679589614</v>
      </c>
      <c r="BH36" s="15">
        <f t="shared" si="43"/>
        <v>2.8867000686819084</v>
      </c>
      <c r="BI36" s="15">
        <f t="shared" si="44"/>
        <v>2.6922268625863945</v>
      </c>
      <c r="BJ36" s="15">
        <f t="shared" si="45"/>
        <v>2.5066949478492173</v>
      </c>
      <c r="BK36" s="15">
        <f t="shared" si="46"/>
        <v>2.3313429557326426</v>
      </c>
      <c r="BL36" s="15">
        <f t="shared" si="47"/>
        <v>2.166786133761911</v>
      </c>
      <c r="BM36" s="15">
        <f t="shared" si="48"/>
        <v>2.0131917186039718</v>
      </c>
      <c r="BN36" s="15">
        <f t="shared" si="49"/>
        <v>1.8704141986814555</v>
      </c>
      <c r="BO36" s="15">
        <f t="shared" si="50"/>
        <v>1.7380976335171532</v>
      </c>
      <c r="BP36" s="15">
        <f t="shared" si="51"/>
        <v>1.6157517103780799</v>
      </c>
      <c r="BQ36" s="15">
        <f t="shared" si="52"/>
        <v>1.502807324412647</v>
      </c>
      <c r="BR36" s="15">
        <f t="shared" si="53"/>
        <v>1.3986564705226046</v>
      </c>
      <c r="BS36" s="15">
        <f t="shared" si="54"/>
        <v>1.3026802888424422</v>
      </c>
      <c r="BT36" s="15">
        <f t="shared" si="55"/>
        <v>1.214268278602026</v>
      </c>
      <c r="BU36" s="15">
        <f t="shared" si="56"/>
        <v>1.1328310067511125</v>
      </c>
      <c r="BV36" s="15">
        <f t="shared" si="57"/>
        <v>1.0578080829218477</v>
      </c>
      <c r="BW36" s="15">
        <f t="shared" si="58"/>
        <v>0.9886727351578678</v>
      </c>
      <c r="BX36" s="15">
        <f t="shared" si="59"/>
        <v>0.92493398206077881</v>
      </c>
      <c r="BY36" s="15">
        <f t="shared" si="60"/>
        <v>0.8661371377604582</v>
      </c>
      <c r="BZ36" s="15">
        <f t="shared" si="61"/>
        <v>0.81186318970783933</v>
      </c>
      <c r="CA36" s="15">
        <f t="shared" si="62"/>
        <v>0.76172744170709572</v>
      </c>
      <c r="CB36" s="15">
        <f t="shared" si="63"/>
        <v>0.71537770449404092</v>
      </c>
      <c r="ET36"/>
      <c r="EU36"/>
      <c r="EV36"/>
      <c r="EW36"/>
      <c r="EX36"/>
      <c r="EY36"/>
      <c r="EZ36"/>
      <c r="FA36"/>
      <c r="FB36"/>
      <c r="FC36"/>
      <c r="FD36"/>
      <c r="FE36"/>
      <c r="FF36"/>
      <c r="FG36"/>
      <c r="FH36"/>
      <c r="FI36"/>
      <c r="FJ36"/>
      <c r="FK36"/>
      <c r="FL36"/>
      <c r="FM36"/>
      <c r="FN36"/>
      <c r="FO36"/>
      <c r="FP36"/>
      <c r="FQ36"/>
      <c r="FR36"/>
      <c r="FS36"/>
      <c r="FT36"/>
      <c r="FU36"/>
      <c r="FV36"/>
      <c r="FW36"/>
    </row>
    <row r="37" spans="1:179">
      <c r="A37" s="21">
        <v>12</v>
      </c>
      <c r="B37" s="13">
        <f t="shared" si="64"/>
        <v>4.5</v>
      </c>
      <c r="C37" s="15">
        <f t="shared" si="68"/>
        <v>3</v>
      </c>
      <c r="D37" s="15">
        <f t="shared" si="69"/>
        <v>61.584576014802579</v>
      </c>
      <c r="E37" s="15">
        <f t="shared" si="70"/>
        <v>15.998347539183088</v>
      </c>
      <c r="F37" s="15">
        <f t="shared" si="71"/>
        <v>4.6265134731004514</v>
      </c>
      <c r="G37" s="15">
        <f t="shared" si="72"/>
        <v>74.016570437374014</v>
      </c>
      <c r="H37" s="15"/>
      <c r="I37" s="15"/>
      <c r="J37" s="16"/>
      <c r="K37"/>
      <c r="L37" s="21">
        <v>12</v>
      </c>
      <c r="M37" s="13">
        <f t="shared" si="65"/>
        <v>4.5</v>
      </c>
      <c r="N37" s="15">
        <f t="shared" si="73"/>
        <v>3</v>
      </c>
      <c r="O37" s="15"/>
      <c r="P37" s="13">
        <f t="shared" si="66"/>
        <v>3</v>
      </c>
      <c r="Q37" s="13">
        <f t="shared" si="74"/>
        <v>3.578058132562969</v>
      </c>
      <c r="R37" s="13">
        <f t="shared" si="75"/>
        <v>3.7802116342871597</v>
      </c>
      <c r="S37" s="13">
        <f t="shared" si="78"/>
        <v>3.905124837953327</v>
      </c>
      <c r="T37" s="13">
        <f t="shared" si="78"/>
        <v>4.0360872141221131</v>
      </c>
      <c r="U37" s="13">
        <f t="shared" si="78"/>
        <v>4.1725292090050132</v>
      </c>
      <c r="V37" s="13">
        <f t="shared" si="78"/>
        <v>4.313930922024598</v>
      </c>
      <c r="W37" s="13">
        <f t="shared" si="78"/>
        <v>4.4598206241955518</v>
      </c>
      <c r="X37" s="13">
        <f t="shared" si="78"/>
        <v>4.6097722286464435</v>
      </c>
      <c r="Y37" s="13">
        <f t="shared" si="78"/>
        <v>4.7634021455258218</v>
      </c>
      <c r="Z37" s="13">
        <f t="shared" si="78"/>
        <v>4.920365840057018</v>
      </c>
      <c r="AA37" s="13">
        <f t="shared" si="78"/>
        <v>5.0803543183522146</v>
      </c>
      <c r="AB37" s="13">
        <f t="shared" si="78"/>
        <v>5.2430906915673319</v>
      </c>
      <c r="AC37" s="13">
        <f t="shared" si="78"/>
        <v>5.4083269131959844</v>
      </c>
      <c r="AD37" s="13">
        <f t="shared" si="78"/>
        <v>5.57584074378026</v>
      </c>
      <c r="AE37" s="13">
        <f t="shared" si="78"/>
        <v>5.7454329688892907</v>
      </c>
      <c r="AF37" s="13">
        <f t="shared" si="78"/>
        <v>5.9169248769948055</v>
      </c>
      <c r="AG37" s="13">
        <f t="shared" si="78"/>
        <v>6.0901559914340453</v>
      </c>
      <c r="AH37" s="13">
        <f t="shared" si="76"/>
        <v>6.2649820430708338</v>
      </c>
      <c r="AI37" s="13">
        <f t="shared" si="76"/>
        <v>6.4412731660751668</v>
      </c>
      <c r="AJ37" s="13">
        <f t="shared" si="76"/>
        <v>6.6189122973491648</v>
      </c>
      <c r="AK37" s="13">
        <f t="shared" si="76"/>
        <v>6.7977937597429356</v>
      </c>
      <c r="AL37" s="13">
        <f t="shared" si="77"/>
        <v>6.9778220097678041</v>
      </c>
      <c r="AM37" s="13">
        <f t="shared" si="77"/>
        <v>7.1589105316381767</v>
      </c>
      <c r="AN37" s="13">
        <f t="shared" si="77"/>
        <v>7.3409808608931817</v>
      </c>
      <c r="AO37" s="13">
        <f t="shared" si="77"/>
        <v>7.5239617223906716</v>
      </c>
      <c r="AP37" s="13">
        <f t="shared" si="77"/>
        <v>7.7077882690172537</v>
      </c>
      <c r="AQ37" s="13">
        <f t="shared" si="77"/>
        <v>7.8924014089502572</v>
      </c>
      <c r="AR37" s="13">
        <f t="shared" si="77"/>
        <v>8.0777472107017552</v>
      </c>
      <c r="AS37" s="13">
        <f t="shared" si="77"/>
        <v>8.263776376451629</v>
      </c>
      <c r="AT37" s="14">
        <f t="shared" si="77"/>
        <v>8.4504437753291981</v>
      </c>
      <c r="AV37" s="43">
        <f t="shared" si="0"/>
        <v>3</v>
      </c>
      <c r="AW37" s="15"/>
      <c r="AX37" s="15">
        <f t="shared" si="67"/>
        <v>-4.7457495941111037E-3</v>
      </c>
      <c r="AY37" s="15">
        <f t="shared" si="34"/>
        <v>3.3212655783570311</v>
      </c>
      <c r="AZ37" s="15">
        <f t="shared" si="35"/>
        <v>3.5108209568993307</v>
      </c>
      <c r="BA37" s="15">
        <f t="shared" si="36"/>
        <v>3.5258273710764714</v>
      </c>
      <c r="BB37" s="15">
        <f t="shared" si="37"/>
        <v>3.487354054791048</v>
      </c>
      <c r="BC37" s="15">
        <f t="shared" si="38"/>
        <v>3.4070699443171542</v>
      </c>
      <c r="BD37" s="15">
        <f t="shared" si="39"/>
        <v>3.2956910815499669</v>
      </c>
      <c r="BE37" s="15">
        <f t="shared" si="40"/>
        <v>3.1625262078810539</v>
      </c>
      <c r="BF37" s="15">
        <f t="shared" si="41"/>
        <v>3.0153229206780576</v>
      </c>
      <c r="BG37" s="15">
        <f t="shared" si="42"/>
        <v>2.860304582946624</v>
      </c>
      <c r="BH37" s="15">
        <f t="shared" si="43"/>
        <v>2.7023137736666412</v>
      </c>
      <c r="BI37" s="15">
        <f t="shared" si="44"/>
        <v>2.5450036903642372</v>
      </c>
      <c r="BJ37" s="15">
        <f t="shared" si="45"/>
        <v>2.3910401853517533</v>
      </c>
      <c r="BK37" s="15">
        <f t="shared" si="46"/>
        <v>2.2422929063133594</v>
      </c>
      <c r="BL37" s="15">
        <f t="shared" si="47"/>
        <v>2.1000047967075752</v>
      </c>
      <c r="BM37" s="15">
        <f t="shared" si="48"/>
        <v>1.9649360503018634</v>
      </c>
      <c r="BN37" s="15">
        <f t="shared" si="49"/>
        <v>1.8374826160206559</v>
      </c>
      <c r="BO37" s="15">
        <f t="shared" si="50"/>
        <v>1.7177714497125469</v>
      </c>
      <c r="BP37" s="15">
        <f t="shared" si="51"/>
        <v>1.6057356130375373</v>
      </c>
      <c r="BQ37" s="15">
        <f t="shared" si="52"/>
        <v>1.5011725186141849</v>
      </c>
      <c r="BR37" s="15">
        <f t="shared" si="53"/>
        <v>1.4037884389875821</v>
      </c>
      <c r="BS37" s="15">
        <f t="shared" si="54"/>
        <v>1.3132320372807214</v>
      </c>
      <c r="BT37" s="15">
        <f t="shared" si="55"/>
        <v>1.2291192590253486</v>
      </c>
      <c r="BU37" s="15">
        <f t="shared" si="56"/>
        <v>1.1510515132900516</v>
      </c>
      <c r="BV37" s="15">
        <f t="shared" si="57"/>
        <v>1.078628699149458</v>
      </c>
      <c r="BW37" s="15">
        <f t="shared" si="58"/>
        <v>1.0114583133951611</v>
      </c>
      <c r="BX37" s="15">
        <f t="shared" si="59"/>
        <v>0.94916160885037093</v>
      </c>
      <c r="BY37" s="15">
        <f t="shared" si="60"/>
        <v>0.89137755581773082</v>
      </c>
      <c r="BZ37" s="15">
        <f t="shared" si="61"/>
        <v>0.83776518576960413</v>
      </c>
      <c r="CA37" s="15">
        <f t="shared" si="62"/>
        <v>0.78800475947605719</v>
      </c>
      <c r="CB37" s="15">
        <f t="shared" si="63"/>
        <v>0.7417980947675149</v>
      </c>
      <c r="ET37"/>
      <c r="EU37"/>
      <c r="EV37"/>
      <c r="EW37"/>
      <c r="EX37"/>
      <c r="EY37"/>
      <c r="EZ37"/>
      <c r="FA37"/>
      <c r="FB37"/>
      <c r="FC37"/>
      <c r="FD37"/>
      <c r="FE37"/>
      <c r="FF37"/>
      <c r="FG37"/>
      <c r="FH37"/>
      <c r="FI37"/>
      <c r="FJ37"/>
      <c r="FK37"/>
      <c r="FL37"/>
      <c r="FM37"/>
      <c r="FN37"/>
      <c r="FO37"/>
      <c r="FP37"/>
      <c r="FQ37"/>
      <c r="FR37"/>
      <c r="FS37"/>
      <c r="FT37"/>
      <c r="FU37"/>
      <c r="FV37"/>
      <c r="FW37"/>
    </row>
    <row r="38" spans="1:179">
      <c r="A38" s="21">
        <v>13</v>
      </c>
      <c r="B38" s="13">
        <f t="shared" si="64"/>
        <v>4.25</v>
      </c>
      <c r="C38" s="15">
        <f t="shared" si="68"/>
        <v>3.25</v>
      </c>
      <c r="D38" s="15">
        <f t="shared" si="69"/>
        <v>56.91856178174266</v>
      </c>
      <c r="E38" s="15">
        <f t="shared" si="70"/>
        <v>14.812892224568156</v>
      </c>
      <c r="F38" s="15">
        <f t="shared" si="71"/>
        <v>4.3766031153507949</v>
      </c>
      <c r="G38" s="15">
        <f t="shared" si="72"/>
        <v>64.830150257400561</v>
      </c>
      <c r="H38" s="15"/>
      <c r="I38" s="15"/>
      <c r="J38" s="16"/>
      <c r="K38"/>
      <c r="L38" s="21">
        <v>13</v>
      </c>
      <c r="M38" s="13">
        <f t="shared" si="65"/>
        <v>4.25</v>
      </c>
      <c r="N38" s="15">
        <f t="shared" si="73"/>
        <v>3.25</v>
      </c>
      <c r="O38" s="15"/>
      <c r="P38" s="13">
        <f t="shared" si="66"/>
        <v>3.25</v>
      </c>
      <c r="Q38" s="13">
        <f t="shared" si="74"/>
        <v>3.7901187316494451</v>
      </c>
      <c r="R38" s="13">
        <f t="shared" si="75"/>
        <v>3.9815198103236908</v>
      </c>
      <c r="S38" s="13">
        <f t="shared" si="78"/>
        <v>4.1003048667141817</v>
      </c>
      <c r="T38" s="13">
        <f t="shared" si="78"/>
        <v>4.2252218876645991</v>
      </c>
      <c r="U38" s="13">
        <f t="shared" si="78"/>
        <v>4.355743334954437</v>
      </c>
      <c r="V38" s="13">
        <f t="shared" si="78"/>
        <v>4.4913806340589746</v>
      </c>
      <c r="W38" s="13">
        <f t="shared" si="78"/>
        <v>4.6316843588483012</v>
      </c>
      <c r="X38" s="13">
        <f t="shared" si="78"/>
        <v>4.7762432936356998</v>
      </c>
      <c r="Y38" s="13">
        <f t="shared" si="78"/>
        <v>4.9246827308974943</v>
      </c>
      <c r="Z38" s="13">
        <f t="shared" si="78"/>
        <v>5.0766622893393256</v>
      </c>
      <c r="AA38" s="13">
        <f t="shared" si="78"/>
        <v>5.231873469418006</v>
      </c>
      <c r="AB38" s="13">
        <f t="shared" si="78"/>
        <v>5.3900371056236711</v>
      </c>
      <c r="AC38" s="13">
        <f t="shared" si="78"/>
        <v>5.5509008277936296</v>
      </c>
      <c r="AD38" s="13">
        <f t="shared" si="78"/>
        <v>5.7142366069318484</v>
      </c>
      <c r="AE38" s="13">
        <f t="shared" si="78"/>
        <v>5.8798384331544353</v>
      </c>
      <c r="AF38" s="13">
        <f t="shared" si="78"/>
        <v>6.0475201529221874</v>
      </c>
      <c r="AG38" s="13">
        <f t="shared" si="78"/>
        <v>6.2171134781343671</v>
      </c>
      <c r="AH38" s="13">
        <f t="shared" si="76"/>
        <v>6.3884661695903189</v>
      </c>
      <c r="AI38" s="13">
        <f t="shared" si="76"/>
        <v>6.5614403906459442</v>
      </c>
      <c r="AJ38" s="13">
        <f t="shared" si="76"/>
        <v>6.7359112226928888</v>
      </c>
      <c r="AK38" s="13">
        <f t="shared" si="76"/>
        <v>6.9117653316645518</v>
      </c>
      <c r="AL38" s="13">
        <f t="shared" si="77"/>
        <v>7.0888997735896924</v>
      </c>
      <c r="AM38" s="13">
        <f t="shared" si="77"/>
        <v>7.2672209268743169</v>
      </c>
      <c r="AN38" s="13">
        <f t="shared" si="77"/>
        <v>7.4466435392061037</v>
      </c>
      <c r="AO38" s="13">
        <f t="shared" si="77"/>
        <v>7.6270898775352061</v>
      </c>
      <c r="AP38" s="13">
        <f t="shared" si="77"/>
        <v>7.8084889703450306</v>
      </c>
      <c r="AQ38" s="13">
        <f t="shared" si="77"/>
        <v>7.9907759322859251</v>
      </c>
      <c r="AR38" s="13">
        <f t="shared" si="77"/>
        <v>8.1738913621359082</v>
      </c>
      <c r="AS38" s="13">
        <f t="shared" si="77"/>
        <v>8.3577808059316805</v>
      </c>
      <c r="AT38" s="14">
        <f t="shared" si="77"/>
        <v>8.5423942779527557</v>
      </c>
      <c r="AV38" s="43">
        <f t="shared" ref="AV38:AV55" si="79">N38</f>
        <v>3.25</v>
      </c>
      <c r="AW38" s="15"/>
      <c r="AX38" s="15">
        <f t="shared" si="67"/>
        <v>-4.0437156304852012E-3</v>
      </c>
      <c r="AY38" s="15">
        <f t="shared" si="34"/>
        <v>2.697726029831951</v>
      </c>
      <c r="AZ38" s="15">
        <f t="shared" si="35"/>
        <v>2.9341352112323666</v>
      </c>
      <c r="BA38" s="15">
        <f t="shared" si="36"/>
        <v>2.9929258435214972</v>
      </c>
      <c r="BB38" s="15">
        <f t="shared" si="37"/>
        <v>3.0046711767610121</v>
      </c>
      <c r="BC38" s="15">
        <f t="shared" si="38"/>
        <v>2.9772574861811041</v>
      </c>
      <c r="BD38" s="15">
        <f t="shared" si="39"/>
        <v>2.9185451273843692</v>
      </c>
      <c r="BE38" s="15">
        <f t="shared" si="40"/>
        <v>2.8358461359557978</v>
      </c>
      <c r="BF38" s="15">
        <f t="shared" si="41"/>
        <v>2.7356343313604037</v>
      </c>
      <c r="BG38" s="15">
        <f t="shared" si="42"/>
        <v>2.6234259423673278</v>
      </c>
      <c r="BH38" s="15">
        <f t="shared" si="43"/>
        <v>2.5037746334890096</v>
      </c>
      <c r="BI38" s="15">
        <f t="shared" si="44"/>
        <v>2.3803359304677856</v>
      </c>
      <c r="BJ38" s="15">
        <f t="shared" si="45"/>
        <v>2.2559679984952905</v>
      </c>
      <c r="BK38" s="15">
        <f t="shared" si="46"/>
        <v>2.132846278274394</v>
      </c>
      <c r="BL38" s="15">
        <f t="shared" si="47"/>
        <v>2.0125778116866444</v>
      </c>
      <c r="BM38" s="15">
        <f t="shared" si="48"/>
        <v>1.8963071604325787</v>
      </c>
      <c r="BN38" s="15">
        <f t="shared" si="49"/>
        <v>1.7848099673395568</v>
      </c>
      <c r="BO38" s="15">
        <f t="shared" si="50"/>
        <v>1.6785728675808054</v>
      </c>
      <c r="BP38" s="15">
        <f t="shared" si="51"/>
        <v>1.5778600408800583</v>
      </c>
      <c r="BQ38" s="15">
        <f t="shared" si="52"/>
        <v>1.4827675479969986</v>
      </c>
      <c r="BR38" s="15">
        <f t="shared" si="53"/>
        <v>1.3932669743121269</v>
      </c>
      <c r="BS38" s="15">
        <f t="shared" si="54"/>
        <v>1.3092399945746893</v>
      </c>
      <c r="BT38" s="15">
        <f t="shared" si="55"/>
        <v>1.2305054009023491</v>
      </c>
      <c r="BU38" s="15">
        <f t="shared" si="56"/>
        <v>1.1568399819866726</v>
      </c>
      <c r="BV38" s="15">
        <f t="shared" si="57"/>
        <v>1.0879944552748786</v>
      </c>
      <c r="BW38" s="15">
        <f t="shared" si="58"/>
        <v>1.0237054649104735</v>
      </c>
      <c r="BX38" s="15">
        <f t="shared" si="59"/>
        <v>0.96370448213392079</v>
      </c>
      <c r="BY38" s="15">
        <f t="shared" si="60"/>
        <v>0.90772428894293999</v>
      </c>
      <c r="BZ38" s="15">
        <f t="shared" si="61"/>
        <v>0.8555035923428167</v>
      </c>
      <c r="CA38" s="15">
        <f t="shared" si="62"/>
        <v>0.80679020492546361</v>
      </c>
      <c r="CB38" s="15">
        <f t="shared" si="63"/>
        <v>0.76134313582786617</v>
      </c>
      <c r="ET38"/>
      <c r="EU38"/>
      <c r="EV38"/>
      <c r="EW38"/>
      <c r="EX38"/>
      <c r="EY38"/>
      <c r="EZ38"/>
      <c r="FA38"/>
      <c r="FB38"/>
      <c r="FC38"/>
      <c r="FD38"/>
      <c r="FE38"/>
      <c r="FF38"/>
      <c r="FG38"/>
      <c r="FH38"/>
      <c r="FI38"/>
      <c r="FJ38"/>
      <c r="FK38"/>
      <c r="FL38"/>
      <c r="FM38"/>
      <c r="FN38"/>
      <c r="FO38"/>
      <c r="FP38"/>
      <c r="FQ38"/>
      <c r="FR38"/>
      <c r="FS38"/>
      <c r="FT38"/>
      <c r="FU38"/>
      <c r="FV38"/>
      <c r="FW38"/>
    </row>
    <row r="39" spans="1:179">
      <c r="A39" s="21">
        <v>14</v>
      </c>
      <c r="B39" s="13">
        <f t="shared" si="64"/>
        <v>4</v>
      </c>
      <c r="C39" s="15">
        <f t="shared" si="68"/>
        <v>3.5</v>
      </c>
      <c r="D39" s="15">
        <f t="shared" si="69"/>
        <v>52.48339895855176</v>
      </c>
      <c r="E39" s="15">
        <f t="shared" si="70"/>
        <v>13.675245092536802</v>
      </c>
      <c r="F39" s="15">
        <f t="shared" si="71"/>
        <v>4.1266639193818468</v>
      </c>
      <c r="G39" s="15">
        <f t="shared" si="72"/>
        <v>56.433140512075283</v>
      </c>
      <c r="H39" s="15"/>
      <c r="I39" s="15"/>
      <c r="J39" s="16"/>
      <c r="K39"/>
      <c r="L39" s="21">
        <v>14</v>
      </c>
      <c r="M39" s="13">
        <f t="shared" si="65"/>
        <v>4</v>
      </c>
      <c r="N39" s="15">
        <f t="shared" si="73"/>
        <v>3.5</v>
      </c>
      <c r="O39" s="15"/>
      <c r="P39" s="13">
        <f t="shared" si="66"/>
        <v>3.5</v>
      </c>
      <c r="Q39" s="13">
        <f t="shared" si="74"/>
        <v>4.0065571255131252</v>
      </c>
      <c r="R39" s="13">
        <f t="shared" si="75"/>
        <v>4.1880783182743846</v>
      </c>
      <c r="S39" s="13">
        <f t="shared" si="78"/>
        <v>4.3011626335213133</v>
      </c>
      <c r="T39" s="13">
        <f t="shared" si="78"/>
        <v>4.4204072210600689</v>
      </c>
      <c r="U39" s="13">
        <f t="shared" si="78"/>
        <v>4.5453272709454042</v>
      </c>
      <c r="V39" s="13">
        <f t="shared" si="78"/>
        <v>4.6754678910243834</v>
      </c>
      <c r="W39" s="13">
        <f t="shared" si="78"/>
        <v>4.8104053883222777</v>
      </c>
      <c r="X39" s="13">
        <f t="shared" si="78"/>
        <v>4.9497474683058327</v>
      </c>
      <c r="Y39" s="13">
        <f t="shared" si="78"/>
        <v>5.0931326312987375</v>
      </c>
      <c r="Z39" s="13">
        <f t="shared" si="78"/>
        <v>5.2402290026295608</v>
      </c>
      <c r="AA39" s="13">
        <f t="shared" si="78"/>
        <v>5.3907327887774219</v>
      </c>
      <c r="AB39" s="13">
        <f t="shared" si="78"/>
        <v>5.5443665102516455</v>
      </c>
      <c r="AC39" s="13">
        <f t="shared" si="78"/>
        <v>5.7008771254956896</v>
      </c>
      <c r="AD39" s="13">
        <f t="shared" si="78"/>
        <v>5.8600341295934451</v>
      </c>
      <c r="AE39" s="13">
        <f t="shared" si="78"/>
        <v>6.0216276869298389</v>
      </c>
      <c r="AF39" s="13">
        <f t="shared" si="78"/>
        <v>6.185466837676846</v>
      </c>
      <c r="AG39" s="13">
        <f t="shared" si="78"/>
        <v>6.3513778032801671</v>
      </c>
      <c r="AH39" s="13">
        <f t="shared" si="76"/>
        <v>6.5192024052026492</v>
      </c>
      <c r="AI39" s="13">
        <f t="shared" si="76"/>
        <v>6.6887966032762574</v>
      </c>
      <c r="AJ39" s="13">
        <f t="shared" si="76"/>
        <v>6.8600291544569982</v>
      </c>
      <c r="AK39" s="13">
        <f t="shared" si="76"/>
        <v>7.0327803890068967</v>
      </c>
      <c r="AL39" s="13">
        <f t="shared" si="77"/>
        <v>7.2069410986909004</v>
      </c>
      <c r="AM39" s="13">
        <f t="shared" si="77"/>
        <v>7.3824115301167001</v>
      </c>
      <c r="AN39" s="13">
        <f t="shared" si="77"/>
        <v>7.5591004755857032</v>
      </c>
      <c r="AO39" s="13">
        <f t="shared" si="77"/>
        <v>7.7369244535538799</v>
      </c>
      <c r="AP39" s="13">
        <f t="shared" si="77"/>
        <v>7.9158069708653205</v>
      </c>
      <c r="AQ39" s="13">
        <f t="shared" si="77"/>
        <v>8.0956778592036382</v>
      </c>
      <c r="AR39" s="13">
        <f t="shared" si="77"/>
        <v>8.2764726786234242</v>
      </c>
      <c r="AS39" s="13">
        <f t="shared" si="77"/>
        <v>8.4581321815162003</v>
      </c>
      <c r="AT39" s="14">
        <f t="shared" si="77"/>
        <v>8.6406018308911783</v>
      </c>
      <c r="AV39" s="43">
        <f t="shared" si="79"/>
        <v>3.5</v>
      </c>
      <c r="AW39" s="15"/>
      <c r="AX39" s="15">
        <f t="shared" si="67"/>
        <v>-3.4866731711836684E-3</v>
      </c>
      <c r="AY39" s="15">
        <f t="shared" si="34"/>
        <v>2.2006187425827739</v>
      </c>
      <c r="AZ39" s="15">
        <f t="shared" si="35"/>
        <v>2.453605941807421</v>
      </c>
      <c r="BA39" s="15">
        <f t="shared" si="36"/>
        <v>2.5375093479473083</v>
      </c>
      <c r="BB39" s="15">
        <f t="shared" si="37"/>
        <v>2.5816557885513154</v>
      </c>
      <c r="BC39" s="15">
        <f t="shared" si="38"/>
        <v>2.591023140991171</v>
      </c>
      <c r="BD39" s="15">
        <f t="shared" si="39"/>
        <v>2.5710653786338136</v>
      </c>
      <c r="BE39" s="15">
        <f t="shared" si="40"/>
        <v>2.5272307495763955</v>
      </c>
      <c r="BF39" s="15">
        <f t="shared" si="41"/>
        <v>2.4646405223906482</v>
      </c>
      <c r="BG39" s="15">
        <f t="shared" si="42"/>
        <v>2.3879000076961616</v>
      </c>
      <c r="BH39" s="15">
        <f t="shared" si="43"/>
        <v>2.301009753260256</v>
      </c>
      <c r="BI39" s="15">
        <f t="shared" si="44"/>
        <v>2.2073470055226938</v>
      </c>
      <c r="BJ39" s="15">
        <f t="shared" si="45"/>
        <v>2.1096925584982462</v>
      </c>
      <c r="BK39" s="15">
        <f t="shared" si="46"/>
        <v>2.0102839001720301</v>
      </c>
      <c r="BL39" s="15">
        <f t="shared" si="47"/>
        <v>1.9108809610982345</v>
      </c>
      <c r="BM39" s="15">
        <f t="shared" si="48"/>
        <v>1.8128352553099278</v>
      </c>
      <c r="BN39" s="15">
        <f t="shared" si="49"/>
        <v>1.7171566560087812</v>
      </c>
      <c r="BO39" s="15">
        <f t="shared" si="50"/>
        <v>1.6245745491305781</v>
      </c>
      <c r="BP39" s="15">
        <f t="shared" si="51"/>
        <v>1.5355918230948824</v>
      </c>
      <c r="BQ39" s="15">
        <f t="shared" si="52"/>
        <v>1.4505312654589055</v>
      </c>
      <c r="BR39" s="15">
        <f t="shared" si="53"/>
        <v>1.3695746118081775</v>
      </c>
      <c r="BS39" s="15">
        <f t="shared" si="54"/>
        <v>1.2927948635762083</v>
      </c>
      <c r="BT39" s="15">
        <f t="shared" si="55"/>
        <v>1.2201826621951817</v>
      </c>
      <c r="BU39" s="15">
        <f t="shared" si="56"/>
        <v>1.151667551466548</v>
      </c>
      <c r="BV39" s="15">
        <f t="shared" si="57"/>
        <v>1.0871349300840818</v>
      </c>
      <c r="BW39" s="15">
        <f t="shared" si="58"/>
        <v>1.0264394264971304</v>
      </c>
      <c r="BX39" s="15">
        <f t="shared" si="59"/>
        <v>0.96941534104345095</v>
      </c>
      <c r="BY39" s="15">
        <f t="shared" si="60"/>
        <v>0.91588470916093223</v>
      </c>
      <c r="BZ39" s="15">
        <f t="shared" si="61"/>
        <v>0.86566345234764719</v>
      </c>
      <c r="CA39" s="15">
        <f t="shared" si="62"/>
        <v>0.8185660044373767</v>
      </c>
      <c r="CB39" s="15">
        <f t="shared" si="63"/>
        <v>0.77440873137466459</v>
      </c>
      <c r="ET39"/>
      <c r="EU39"/>
      <c r="EV39"/>
      <c r="EW39"/>
      <c r="EX39"/>
      <c r="EY39"/>
      <c r="EZ39"/>
      <c r="FA39"/>
      <c r="FB39"/>
      <c r="FC39"/>
      <c r="FD39"/>
      <c r="FE39"/>
      <c r="FF39"/>
      <c r="FG39"/>
      <c r="FH39"/>
      <c r="FI39"/>
      <c r="FJ39"/>
      <c r="FK39"/>
      <c r="FL39"/>
      <c r="FM39"/>
      <c r="FN39"/>
      <c r="FO39"/>
      <c r="FP39"/>
      <c r="FQ39"/>
      <c r="FR39"/>
      <c r="FS39"/>
      <c r="FT39"/>
      <c r="FU39"/>
      <c r="FV39"/>
      <c r="FW39"/>
    </row>
    <row r="40" spans="1:179">
      <c r="A40" s="21">
        <v>15</v>
      </c>
      <c r="B40" s="13">
        <f t="shared" si="64"/>
        <v>3.75</v>
      </c>
      <c r="C40" s="15">
        <f t="shared" si="68"/>
        <v>3.75</v>
      </c>
      <c r="D40" s="15">
        <f t="shared" si="69"/>
        <v>48.319817930805421</v>
      </c>
      <c r="E40" s="15">
        <f t="shared" si="70"/>
        <v>12.600402111169647</v>
      </c>
      <c r="F40" s="15">
        <f t="shared" si="71"/>
        <v>3.8767044346758208</v>
      </c>
      <c r="G40" s="15">
        <f t="shared" si="72"/>
        <v>48.848034743069945</v>
      </c>
      <c r="H40" s="15"/>
      <c r="I40" s="15"/>
      <c r="J40" s="16"/>
      <c r="K40"/>
      <c r="L40" s="21">
        <v>15</v>
      </c>
      <c r="M40" s="13">
        <f t="shared" si="65"/>
        <v>3.75</v>
      </c>
      <c r="N40" s="15">
        <f t="shared" si="73"/>
        <v>3.75</v>
      </c>
      <c r="O40" s="15"/>
      <c r="P40" s="13">
        <f t="shared" si="66"/>
        <v>3.75</v>
      </c>
      <c r="Q40" s="13">
        <f t="shared" si="74"/>
        <v>4.2267008410816107</v>
      </c>
      <c r="R40" s="13">
        <f t="shared" si="75"/>
        <v>4.3991476447148257</v>
      </c>
      <c r="S40" s="13">
        <f t="shared" si="78"/>
        <v>4.5069390943299865</v>
      </c>
      <c r="T40" s="13">
        <f t="shared" si="78"/>
        <v>4.6208765402248089</v>
      </c>
      <c r="U40" s="13">
        <f t="shared" si="78"/>
        <v>4.7405168494585057</v>
      </c>
      <c r="V40" s="13">
        <f t="shared" si="78"/>
        <v>4.8654393429576324</v>
      </c>
      <c r="W40" s="13">
        <f t="shared" si="78"/>
        <v>4.9952477416040137</v>
      </c>
      <c r="X40" s="13">
        <f t="shared" si="78"/>
        <v>5.1295711321707982</v>
      </c>
      <c r="Y40" s="13">
        <f t="shared" si="78"/>
        <v>5.26806416058119</v>
      </c>
      <c r="Z40" s="13">
        <f t="shared" si="78"/>
        <v>5.4104066390614305</v>
      </c>
      <c r="AA40" s="13">
        <f t="shared" si="78"/>
        <v>5.5563027275338408</v>
      </c>
      <c r="AB40" s="13">
        <f t="shared" si="78"/>
        <v>5.7054798220658016</v>
      </c>
      <c r="AC40" s="13">
        <f t="shared" si="78"/>
        <v>5.8576872569299905</v>
      </c>
      <c r="AD40" s="13">
        <f t="shared" si="78"/>
        <v>6.0126949032858805</v>
      </c>
      <c r="AE40" s="13">
        <f t="shared" si="78"/>
        <v>6.1702917273010689</v>
      </c>
      <c r="AF40" s="13">
        <f t="shared" si="78"/>
        <v>6.3302843538027576</v>
      </c>
      <c r="AG40" s="13">
        <f t="shared" si="78"/>
        <v>6.4924956680771073</v>
      </c>
      <c r="AH40" s="13">
        <f t="shared" si="76"/>
        <v>6.656763477847174</v>
      </c>
      <c r="AI40" s="13">
        <f t="shared" si="76"/>
        <v>6.8229392493264953</v>
      </c>
      <c r="AJ40" s="13">
        <f t="shared" si="76"/>
        <v>6.9908869251333199</v>
      </c>
      <c r="AK40" s="13">
        <f t="shared" si="76"/>
        <v>7.1604818273632951</v>
      </c>
      <c r="AL40" s="13">
        <f t="shared" si="77"/>
        <v>7.3316096459099622</v>
      </c>
      <c r="AM40" s="13">
        <f t="shared" si="77"/>
        <v>7.5041655099018172</v>
      </c>
      <c r="AN40" s="13">
        <f t="shared" si="77"/>
        <v>7.6780531386543558</v>
      </c>
      <c r="AO40" s="13">
        <f t="shared" si="77"/>
        <v>7.8531840676250555</v>
      </c>
      <c r="AP40" s="13">
        <f t="shared" si="77"/>
        <v>8.0294769443594518</v>
      </c>
      <c r="AQ40" s="13">
        <f t="shared" si="77"/>
        <v>8.2068568892116058</v>
      </c>
      <c r="AR40" s="13">
        <f t="shared" si="77"/>
        <v>8.3852549156242109</v>
      </c>
      <c r="AS40" s="13">
        <f t="shared" si="77"/>
        <v>8.5646074048960354</v>
      </c>
      <c r="AT40" s="14">
        <f t="shared" si="77"/>
        <v>8.744855630597911</v>
      </c>
      <c r="AV40" s="43">
        <f t="shared" si="79"/>
        <v>3.75</v>
      </c>
      <c r="AW40" s="15"/>
      <c r="AX40" s="15">
        <f t="shared" si="67"/>
        <v>-3.0372797402311068E-3</v>
      </c>
      <c r="AY40" s="15">
        <f t="shared" si="34"/>
        <v>1.8042965622847724</v>
      </c>
      <c r="AZ40" s="15">
        <f t="shared" si="35"/>
        <v>2.0557275278974845</v>
      </c>
      <c r="BA40" s="15">
        <f t="shared" si="36"/>
        <v>2.1521090274178696</v>
      </c>
      <c r="BB40" s="15">
        <f t="shared" si="37"/>
        <v>2.2157907656268248</v>
      </c>
      <c r="BC40" s="15">
        <f t="shared" si="38"/>
        <v>2.2496433699830809</v>
      </c>
      <c r="BD40" s="15">
        <f t="shared" si="39"/>
        <v>2.2572353480195075</v>
      </c>
      <c r="BE40" s="15">
        <f t="shared" si="40"/>
        <v>2.2424349301123989</v>
      </c>
      <c r="BF40" s="15">
        <f t="shared" si="41"/>
        <v>2.2091130694565555</v>
      </c>
      <c r="BG40" s="15">
        <f t="shared" si="42"/>
        <v>2.1609396026644014</v>
      </c>
      <c r="BH40" s="15">
        <f t="shared" si="43"/>
        <v>2.1012574595249842</v>
      </c>
      <c r="BI40" s="15">
        <f t="shared" si="44"/>
        <v>2.0330175820619854</v>
      </c>
      <c r="BJ40" s="15">
        <f t="shared" si="45"/>
        <v>1.9587580105829336</v>
      </c>
      <c r="BK40" s="15">
        <f t="shared" si="46"/>
        <v>1.8806129469317454</v>
      </c>
      <c r="BL40" s="15">
        <f t="shared" si="47"/>
        <v>1.8003405032070015</v>
      </c>
      <c r="BM40" s="15">
        <f t="shared" si="48"/>
        <v>1.7193606815211171</v>
      </c>
      <c r="BN40" s="15">
        <f t="shared" si="49"/>
        <v>1.6387975996995883</v>
      </c>
      <c r="BO40" s="15">
        <f t="shared" si="50"/>
        <v>1.5595219678807652</v>
      </c>
      <c r="BP40" s="15">
        <f t="shared" si="51"/>
        <v>1.4821913342522144</v>
      </c>
      <c r="BQ40" s="15">
        <f t="shared" si="52"/>
        <v>1.4072867134253906</v>
      </c>
      <c r="BR40" s="15">
        <f t="shared" si="53"/>
        <v>1.3351449672464402</v>
      </c>
      <c r="BS40" s="15">
        <f t="shared" si="54"/>
        <v>1.2659868042702909</v>
      </c>
      <c r="BT40" s="15">
        <f t="shared" si="55"/>
        <v>1.19994057014181</v>
      </c>
      <c r="BU40" s="15">
        <f t="shared" si="56"/>
        <v>1.137062173144338</v>
      </c>
      <c r="BV40" s="15">
        <f t="shared" si="57"/>
        <v>1.0773515705943224</v>
      </c>
      <c r="BW40" s="15">
        <f t="shared" si="58"/>
        <v>1.0207662645972246</v>
      </c>
      <c r="BX40" s="15">
        <f t="shared" si="59"/>
        <v>0.96723224271768271</v>
      </c>
      <c r="BY40" s="15">
        <f t="shared" si="60"/>
        <v>0.91665276603272461</v>
      </c>
      <c r="BZ40" s="15">
        <f t="shared" si="61"/>
        <v>0.86891536424776805</v>
      </c>
      <c r="CA40" s="15">
        <f t="shared" si="62"/>
        <v>0.82389735171098699</v>
      </c>
      <c r="CB40" s="15">
        <f t="shared" si="63"/>
        <v>0.78147013329142689</v>
      </c>
      <c r="ET40"/>
      <c r="EU40"/>
      <c r="EV40"/>
      <c r="EW40"/>
      <c r="EX40"/>
      <c r="EY40"/>
      <c r="EZ40"/>
      <c r="FA40"/>
      <c r="FB40"/>
      <c r="FC40"/>
      <c r="FD40"/>
      <c r="FE40"/>
      <c r="FF40"/>
      <c r="FG40"/>
      <c r="FH40"/>
      <c r="FI40"/>
      <c r="FJ40"/>
      <c r="FK40"/>
      <c r="FL40"/>
      <c r="FM40"/>
      <c r="FN40"/>
      <c r="FO40"/>
      <c r="FP40"/>
      <c r="FQ40"/>
      <c r="FR40"/>
      <c r="FS40"/>
      <c r="FT40"/>
      <c r="FU40"/>
      <c r="FV40"/>
      <c r="FW40"/>
    </row>
    <row r="41" spans="1:179">
      <c r="A41" s="21">
        <v>16</v>
      </c>
      <c r="B41" s="13">
        <f t="shared" si="64"/>
        <v>3.5</v>
      </c>
      <c r="C41" s="15">
        <f t="shared" si="68"/>
        <v>4</v>
      </c>
      <c r="D41" s="15">
        <f t="shared" si="69"/>
        <v>44.444076456976866</v>
      </c>
      <c r="E41" s="15">
        <f t="shared" si="70"/>
        <v>11.595486798472786</v>
      </c>
      <c r="F41" s="15">
        <f t="shared" si="71"/>
        <v>3.6267305200697</v>
      </c>
      <c r="G41" s="15">
        <f t="shared" si="72"/>
        <v>42.053705867086549</v>
      </c>
      <c r="H41" s="15"/>
      <c r="I41" s="15"/>
      <c r="J41" s="16"/>
      <c r="K41"/>
      <c r="L41" s="21">
        <v>16</v>
      </c>
      <c r="M41" s="13">
        <f t="shared" si="65"/>
        <v>3.5</v>
      </c>
      <c r="N41" s="15">
        <f t="shared" si="73"/>
        <v>4</v>
      </c>
      <c r="O41" s="15"/>
      <c r="P41" s="13">
        <f t="shared" si="66"/>
        <v>4</v>
      </c>
      <c r="Q41" s="13">
        <f t="shared" si="74"/>
        <v>4.45</v>
      </c>
      <c r="R41" s="13">
        <f t="shared" si="75"/>
        <v>4.6141087980237305</v>
      </c>
      <c r="S41" s="13">
        <f t="shared" si="78"/>
        <v>4.7169905660283016</v>
      </c>
      <c r="T41" s="13">
        <f t="shared" si="78"/>
        <v>4.8259714048054612</v>
      </c>
      <c r="U41" s="13">
        <f t="shared" si="78"/>
        <v>4.9406477308142502</v>
      </c>
      <c r="V41" s="13">
        <f t="shared" si="78"/>
        <v>5.0606323715519981</v>
      </c>
      <c r="W41" s="13">
        <f t="shared" si="78"/>
        <v>5.1855568649856689</v>
      </c>
      <c r="X41" s="13">
        <f t="shared" si="78"/>
        <v>5.315072906367325</v>
      </c>
      <c r="Y41" s="13">
        <f t="shared" si="78"/>
        <v>5.4488530903301111</v>
      </c>
      <c r="Z41" s="13">
        <f t="shared" si="78"/>
        <v>5.5865910893853687</v>
      </c>
      <c r="AA41" s="13">
        <f t="shared" si="78"/>
        <v>5.7280013966478744</v>
      </c>
      <c r="AB41" s="13">
        <f t="shared" si="78"/>
        <v>5.8728187440104103</v>
      </c>
      <c r="AC41" s="13">
        <f t="shared" si="78"/>
        <v>6.0207972893961479</v>
      </c>
      <c r="AD41" s="13">
        <f t="shared" si="78"/>
        <v>6.1717096496837893</v>
      </c>
      <c r="AE41" s="13">
        <f t="shared" si="78"/>
        <v>6.3253458403473877</v>
      </c>
      <c r="AF41" s="13">
        <f t="shared" si="78"/>
        <v>6.4815121692395206</v>
      </c>
      <c r="AG41" s="13">
        <f t="shared" si="78"/>
        <v>6.6400301204136118</v>
      </c>
      <c r="AH41" s="13">
        <f t="shared" si="76"/>
        <v>6.800735254367722</v>
      </c>
      <c r="AI41" s="13">
        <f t="shared" si="76"/>
        <v>6.9634761434214738</v>
      </c>
      <c r="AJ41" s="13">
        <f t="shared" si="76"/>
        <v>7.1281133548786952</v>
      </c>
      <c r="AK41" s="13">
        <f t="shared" si="76"/>
        <v>7.2945184899347533</v>
      </c>
      <c r="AL41" s="13">
        <f t="shared" si="77"/>
        <v>7.4625732827222544</v>
      </c>
      <c r="AM41" s="13">
        <f t="shared" si="77"/>
        <v>7.6321687612368736</v>
      </c>
      <c r="AN41" s="13">
        <f t="shared" si="77"/>
        <v>7.8032044699597618</v>
      </c>
      <c r="AO41" s="13">
        <f t="shared" si="77"/>
        <v>7.9755877526361658</v>
      </c>
      <c r="AP41" s="13">
        <f t="shared" si="77"/>
        <v>8.149233092751734</v>
      </c>
      <c r="AQ41" s="13">
        <f t="shared" si="77"/>
        <v>8.3240615086627034</v>
      </c>
      <c r="AR41" s="13">
        <f t="shared" si="77"/>
        <v>8.5</v>
      </c>
      <c r="AS41" s="13">
        <f t="shared" si="77"/>
        <v>8.6769810418140256</v>
      </c>
      <c r="AT41" s="14">
        <f t="shared" si="77"/>
        <v>8.8549421229051521</v>
      </c>
      <c r="AV41" s="43">
        <f t="shared" si="79"/>
        <v>4</v>
      </c>
      <c r="AW41" s="15"/>
      <c r="AX41" s="15">
        <f t="shared" si="67"/>
        <v>-2.6694841466874961E-3</v>
      </c>
      <c r="AY41" s="15">
        <f t="shared" si="34"/>
        <v>1.4876160778513312</v>
      </c>
      <c r="AZ41" s="15">
        <f t="shared" si="35"/>
        <v>1.727272563312148</v>
      </c>
      <c r="BA41" s="15">
        <f t="shared" si="36"/>
        <v>1.8278731507550277</v>
      </c>
      <c r="BB41" s="15">
        <f t="shared" si="37"/>
        <v>1.9020877064111401</v>
      </c>
      <c r="BC41" s="15">
        <f t="shared" si="38"/>
        <v>1.9513301686404596</v>
      </c>
      <c r="BD41" s="15">
        <f t="shared" si="39"/>
        <v>1.9777661708099739</v>
      </c>
      <c r="BE41" s="15">
        <f t="shared" si="40"/>
        <v>1.9840055612832415</v>
      </c>
      <c r="BF41" s="15">
        <f t="shared" si="41"/>
        <v>1.9728529438841464</v>
      </c>
      <c r="BG41" s="15">
        <f t="shared" si="42"/>
        <v>1.947118777915366</v>
      </c>
      <c r="BH41" s="15">
        <f t="shared" si="43"/>
        <v>1.9094864283382234</v>
      </c>
      <c r="BI41" s="15">
        <f t="shared" si="44"/>
        <v>1.8624267707276736</v>
      </c>
      <c r="BJ41" s="15">
        <f t="shared" si="45"/>
        <v>1.808150631166429</v>
      </c>
      <c r="BK41" s="15">
        <f t="shared" si="46"/>
        <v>1.7485896013835305</v>
      </c>
      <c r="BL41" s="15">
        <f t="shared" si="47"/>
        <v>1.6853969016444876</v>
      </c>
      <c r="BM41" s="15">
        <f t="shared" si="48"/>
        <v>1.6199614584364015</v>
      </c>
      <c r="BN41" s="15">
        <f t="shared" si="49"/>
        <v>1.5534298960344481</v>
      </c>
      <c r="BO41" s="15">
        <f t="shared" si="50"/>
        <v>1.4867325298069924</v>
      </c>
      <c r="BP41" s="15">
        <f t="shared" si="51"/>
        <v>1.420610613992799</v>
      </c>
      <c r="BQ41" s="15">
        <f t="shared" si="52"/>
        <v>1.3556430198086302</v>
      </c>
      <c r="BR41" s="15">
        <f t="shared" si="53"/>
        <v>1.2922712181372691</v>
      </c>
      <c r="BS41" s="15">
        <f t="shared" si="54"/>
        <v>1.230821947777994</v>
      </c>
      <c r="BT41" s="15">
        <f t="shared" si="55"/>
        <v>1.1715273028750026</v>
      </c>
      <c r="BU41" s="15">
        <f t="shared" si="56"/>
        <v>1.1145422073472928</v>
      </c>
      <c r="BV41" s="15">
        <f t="shared" si="57"/>
        <v>1.0599593907371694</v>
      </c>
      <c r="BW41" s="15">
        <f t="shared" si="58"/>
        <v>1.0078220638993951</v>
      </c>
      <c r="BX41" s="15">
        <f t="shared" si="59"/>
        <v>0.95813453380232105</v>
      </c>
      <c r="BY41" s="15">
        <f t="shared" si="60"/>
        <v>0.9108710089639307</v>
      </c>
      <c r="BZ41" s="15">
        <f t="shared" si="61"/>
        <v>0.86598284126900171</v>
      </c>
      <c r="CA41" s="15">
        <f t="shared" si="62"/>
        <v>0.82340443355934978</v>
      </c>
      <c r="CB41" s="15">
        <f t="shared" si="63"/>
        <v>0.78305802055237717</v>
      </c>
      <c r="ET41"/>
      <c r="EU41"/>
      <c r="EV41"/>
      <c r="EW41"/>
      <c r="EX41"/>
      <c r="EY41"/>
      <c r="EZ41"/>
      <c r="FA41"/>
      <c r="FB41"/>
      <c r="FC41"/>
      <c r="FD41"/>
      <c r="FE41"/>
      <c r="FF41"/>
      <c r="FG41"/>
      <c r="FH41"/>
      <c r="FI41"/>
      <c r="FJ41"/>
      <c r="FK41"/>
      <c r="FL41"/>
      <c r="FM41"/>
      <c r="FN41"/>
      <c r="FO41"/>
      <c r="FP41"/>
      <c r="FQ41"/>
      <c r="FR41"/>
      <c r="FS41"/>
      <c r="FT41"/>
      <c r="FU41"/>
      <c r="FV41"/>
      <c r="FW41"/>
    </row>
    <row r="42" spans="1:179">
      <c r="A42" s="21">
        <v>17</v>
      </c>
      <c r="B42" s="13">
        <f t="shared" si="64"/>
        <v>3.25</v>
      </c>
      <c r="C42" s="15">
        <f t="shared" si="68"/>
        <v>4.25</v>
      </c>
      <c r="D42" s="15">
        <f t="shared" si="69"/>
        <v>40.857226162674955</v>
      </c>
      <c r="E42" s="15">
        <f t="shared" si="70"/>
        <v>10.662662827456478</v>
      </c>
      <c r="F42" s="15">
        <f t="shared" si="71"/>
        <v>3.3767462217710018</v>
      </c>
      <c r="G42" s="15">
        <f t="shared" si="72"/>
        <v>36.005106416631769</v>
      </c>
      <c r="H42" s="15"/>
      <c r="I42" s="15"/>
      <c r="J42" s="16"/>
      <c r="K42"/>
      <c r="L42" s="21">
        <v>17</v>
      </c>
      <c r="M42" s="13">
        <f t="shared" si="65"/>
        <v>3.25</v>
      </c>
      <c r="N42" s="15">
        <f t="shared" si="73"/>
        <v>4.25</v>
      </c>
      <c r="O42" s="15"/>
      <c r="P42" s="13">
        <f t="shared" si="66"/>
        <v>4.25</v>
      </c>
      <c r="Q42" s="13">
        <f t="shared" si="74"/>
        <v>4.6760025662952751</v>
      </c>
      <c r="R42" s="13">
        <f t="shared" si="75"/>
        <v>4.8324424466308962</v>
      </c>
      <c r="S42" s="13">
        <f t="shared" si="78"/>
        <v>4.9307707308290052</v>
      </c>
      <c r="T42" s="13">
        <f t="shared" si="78"/>
        <v>5.0351266121121521</v>
      </c>
      <c r="U42" s="13">
        <f t="shared" si="78"/>
        <v>5.1451433410547462</v>
      </c>
      <c r="V42" s="13">
        <f t="shared" si="78"/>
        <v>5.2604657588468342</v>
      </c>
      <c r="W42" s="13">
        <f t="shared" si="78"/>
        <v>5.3807527354451068</v>
      </c>
      <c r="X42" s="13">
        <f t="shared" si="78"/>
        <v>5.5056788863863098</v>
      </c>
      <c r="Y42" s="13">
        <f t="shared" si="78"/>
        <v>5.6349356695529362</v>
      </c>
      <c r="Z42" s="13">
        <f t="shared" si="78"/>
        <v>5.7682319648224967</v>
      </c>
      <c r="AA42" s="13">
        <f t="shared" si="78"/>
        <v>5.9052942348370756</v>
      </c>
      <c r="AB42" s="13">
        <f t="shared" si="78"/>
        <v>6.0458663564455346</v>
      </c>
      <c r="AC42" s="13">
        <f t="shared" si="78"/>
        <v>6.1897092015699737</v>
      </c>
      <c r="AD42" s="13">
        <f t="shared" si="78"/>
        <v>6.3366000347189342</v>
      </c>
      <c r="AE42" s="13">
        <f t="shared" si="78"/>
        <v>6.4863317830650633</v>
      </c>
      <c r="AF42" s="13">
        <f t="shared" si="78"/>
        <v>6.6387122245206562</v>
      </c>
      <c r="AG42" s="13">
        <f t="shared" si="78"/>
        <v>6.7935631299046602</v>
      </c>
      <c r="AH42" s="13">
        <f t="shared" si="76"/>
        <v>6.9507193872289221</v>
      </c>
      <c r="AI42" s="13">
        <f t="shared" si="76"/>
        <v>7.1100281293395744</v>
      </c>
      <c r="AJ42" s="13">
        <f t="shared" si="76"/>
        <v>7.2713478805514455</v>
      </c>
      <c r="AK42" s="13">
        <f t="shared" si="76"/>
        <v>7.4345477333863421</v>
      </c>
      <c r="AL42" s="13">
        <f t="shared" si="77"/>
        <v>7.599506562928938</v>
      </c>
      <c r="AM42" s="13">
        <f t="shared" si="77"/>
        <v>7.7661122835045333</v>
      </c>
      <c r="AN42" s="13">
        <f t="shared" si="77"/>
        <v>7.9342611502269067</v>
      </c>
      <c r="AO42" s="13">
        <f t="shared" si="77"/>
        <v>8.1038571063414011</v>
      </c>
      <c r="AP42" s="13">
        <f t="shared" si="77"/>
        <v>8.2748111760933849</v>
      </c>
      <c r="AQ42" s="13">
        <f t="shared" si="77"/>
        <v>8.4470409019963899</v>
      </c>
      <c r="AR42" s="13">
        <f t="shared" si="77"/>
        <v>8.6204698247833331</v>
      </c>
      <c r="AS42" s="13">
        <f t="shared" si="77"/>
        <v>8.7950270039380776</v>
      </c>
      <c r="AT42" s="14">
        <f t="shared" si="77"/>
        <v>8.9706465764737384</v>
      </c>
      <c r="AV42" s="43">
        <f t="shared" si="79"/>
        <v>4.25</v>
      </c>
      <c r="AW42" s="15"/>
      <c r="AX42" s="15">
        <f t="shared" si="67"/>
        <v>-2.3646641576193735E-3</v>
      </c>
      <c r="AY42" s="15">
        <f t="shared" si="34"/>
        <v>1.2336414327730345</v>
      </c>
      <c r="AZ42" s="15">
        <f t="shared" si="35"/>
        <v>1.4563157225095837</v>
      </c>
      <c r="BA42" s="15">
        <f t="shared" si="36"/>
        <v>1.5559402623523277</v>
      </c>
      <c r="BB42" s="15">
        <f t="shared" si="37"/>
        <v>1.6345706518169818</v>
      </c>
      <c r="BC42" s="15">
        <f t="shared" si="38"/>
        <v>1.6926562611042177</v>
      </c>
      <c r="BD42" s="15">
        <f t="shared" si="39"/>
        <v>1.7313610838137579</v>
      </c>
      <c r="BE42" s="15">
        <f t="shared" si="40"/>
        <v>1.7523372516729046</v>
      </c>
      <c r="BF42" s="15">
        <f t="shared" si="41"/>
        <v>1.7575278715911338</v>
      </c>
      <c r="BG42" s="15">
        <f t="shared" si="42"/>
        <v>1.7490061518931106</v>
      </c>
      <c r="BH42" s="15">
        <f t="shared" si="43"/>
        <v>1.7288519052796589</v>
      </c>
      <c r="BI42" s="15">
        <f t="shared" si="44"/>
        <v>1.6990626920332681</v>
      </c>
      <c r="BJ42" s="15">
        <f t="shared" si="45"/>
        <v>1.6614947743188573</v>
      </c>
      <c r="BK42" s="15">
        <f t="shared" si="46"/>
        <v>1.6178282505514479</v>
      </c>
      <c r="BL42" s="15">
        <f t="shared" si="47"/>
        <v>1.5695507960357635</v>
      </c>
      <c r="BM42" s="15">
        <f t="shared" si="48"/>
        <v>1.5179549934153178</v>
      </c>
      <c r="BN42" s="15">
        <f t="shared" si="49"/>
        <v>1.4641450278880366</v>
      </c>
      <c r="BO42" s="15">
        <f t="shared" si="50"/>
        <v>1.4090493696818049</v>
      </c>
      <c r="BP42" s="15">
        <f t="shared" si="51"/>
        <v>1.3534368635191627</v>
      </c>
      <c r="BQ42" s="15">
        <f t="shared" si="52"/>
        <v>1.2979343375892356</v>
      </c>
      <c r="BR42" s="15">
        <f t="shared" si="53"/>
        <v>1.2430444135634486</v>
      </c>
      <c r="BS42" s="15">
        <f t="shared" si="54"/>
        <v>1.189162646159541</v>
      </c>
      <c r="BT42" s="15">
        <f t="shared" si="55"/>
        <v>1.1365934585567414</v>
      </c>
      <c r="BU42" s="15">
        <f t="shared" si="56"/>
        <v>1.0855645861122045</v>
      </c>
      <c r="BV42" s="15">
        <f t="shared" si="57"/>
        <v>1.0362399135311096</v>
      </c>
      <c r="BW42" s="15">
        <f t="shared" si="58"/>
        <v>0.98873070665161822</v>
      </c>
      <c r="BX42" s="15">
        <f t="shared" si="59"/>
        <v>0.94310531365674322</v>
      </c>
      <c r="BY42" s="15">
        <f t="shared" si="60"/>
        <v>0.89939745348788525</v>
      </c>
      <c r="BZ42" s="15">
        <f t="shared" si="61"/>
        <v>0.85761323065644068</v>
      </c>
      <c r="CA42" s="15">
        <f t="shared" si="62"/>
        <v>0.81773702247927404</v>
      </c>
      <c r="CB42" s="15">
        <f t="shared" si="63"/>
        <v>0.77973638213796415</v>
      </c>
      <c r="ET42"/>
      <c r="EU42"/>
      <c r="EV42"/>
      <c r="EW42"/>
      <c r="EX42"/>
      <c r="EY42"/>
      <c r="EZ42"/>
      <c r="FA42"/>
      <c r="FB42"/>
      <c r="FC42"/>
      <c r="FD42"/>
      <c r="FE42"/>
      <c r="FF42"/>
      <c r="FG42"/>
      <c r="FH42"/>
      <c r="FI42"/>
      <c r="FJ42"/>
      <c r="FK42"/>
      <c r="FL42"/>
      <c r="FM42"/>
      <c r="FN42"/>
      <c r="FO42"/>
      <c r="FP42"/>
      <c r="FQ42"/>
      <c r="FR42"/>
      <c r="FS42"/>
      <c r="FT42"/>
      <c r="FU42"/>
      <c r="FV42"/>
      <c r="FW42"/>
    </row>
    <row r="43" spans="1:179">
      <c r="A43" s="21">
        <v>18</v>
      </c>
      <c r="B43" s="13">
        <f t="shared" si="64"/>
        <v>3</v>
      </c>
      <c r="C43" s="15">
        <f t="shared" si="68"/>
        <v>4.5</v>
      </c>
      <c r="D43" s="15">
        <f t="shared" si="69"/>
        <v>37.551153347470105</v>
      </c>
      <c r="E43" s="15">
        <f t="shared" si="70"/>
        <v>9.8010474387681334</v>
      </c>
      <c r="F43" s="15">
        <f t="shared" si="71"/>
        <v>3.1267543564059643</v>
      </c>
      <c r="G43" s="15">
        <f t="shared" si="72"/>
        <v>30.645467776509779</v>
      </c>
      <c r="H43" s="15"/>
      <c r="I43" s="146"/>
      <c r="J43" s="152"/>
      <c r="K43"/>
      <c r="L43" s="21">
        <v>18</v>
      </c>
      <c r="M43" s="13">
        <f t="shared" si="65"/>
        <v>3</v>
      </c>
      <c r="N43" s="15">
        <f t="shared" si="73"/>
        <v>4.5</v>
      </c>
      <c r="O43" s="15"/>
      <c r="P43" s="13">
        <f t="shared" si="66"/>
        <v>4.5</v>
      </c>
      <c r="Q43" s="13">
        <f t="shared" si="74"/>
        <v>4.9043348172815442</v>
      </c>
      <c r="R43" s="13">
        <f t="shared" si="75"/>
        <v>5.0537115073973107</v>
      </c>
      <c r="S43" s="13">
        <f t="shared" si="78"/>
        <v>5.1478150704935004</v>
      </c>
      <c r="T43" s="13">
        <f t="shared" si="78"/>
        <v>5.2478567053607703</v>
      </c>
      <c r="U43" s="13">
        <f t="shared" si="78"/>
        <v>5.3535035257296695</v>
      </c>
      <c r="V43" s="13">
        <f t="shared" si="78"/>
        <v>5.4644304369257002</v>
      </c>
      <c r="W43" s="13">
        <f t="shared" si="78"/>
        <v>5.5803225713214824</v>
      </c>
      <c r="X43" s="13">
        <f t="shared" si="78"/>
        <v>5.7008771254956896</v>
      </c>
      <c r="Y43" s="13">
        <f t="shared" si="78"/>
        <v>5.8258046654518036</v>
      </c>
      <c r="Z43" s="13">
        <f t="shared" si="78"/>
        <v>5.9548299723837621</v>
      </c>
      <c r="AA43" s="13">
        <f t="shared" si="78"/>
        <v>6.0876925020897694</v>
      </c>
      <c r="AB43" s="13">
        <f t="shared" si="78"/>
        <v>6.2241465278381751</v>
      </c>
      <c r="AC43" s="13">
        <f t="shared" si="78"/>
        <v>6.3639610306789276</v>
      </c>
      <c r="AD43" s="13">
        <f t="shared" si="78"/>
        <v>6.5069193939989765</v>
      </c>
      <c r="AE43" s="13">
        <f t="shared" si="78"/>
        <v>6.6528189513919589</v>
      </c>
      <c r="AF43" s="13">
        <f t="shared" si="78"/>
        <v>6.8014704292527801</v>
      </c>
      <c r="AG43" s="13">
        <f t="shared" si="78"/>
        <v>6.9526973183074787</v>
      </c>
      <c r="AH43" s="13">
        <f t="shared" si="76"/>
        <v>7.1063352017759476</v>
      </c>
      <c r="AI43" s="13">
        <f t="shared" si="76"/>
        <v>7.2622310621461228</v>
      </c>
      <c r="AJ43" s="13">
        <f t="shared" si="76"/>
        <v>7.4202425836356589</v>
      </c>
      <c r="AK43" s="13">
        <f t="shared" si="76"/>
        <v>7.5802374632988903</v>
      </c>
      <c r="AL43" s="13">
        <f t="shared" si="77"/>
        <v>7.7420927403383644</v>
      </c>
      <c r="AM43" s="13">
        <f t="shared" si="77"/>
        <v>7.9056941504209481</v>
      </c>
      <c r="AN43" s="13">
        <f t="shared" si="77"/>
        <v>8.0709355095924291</v>
      </c>
      <c r="AO43" s="13">
        <f t="shared" si="77"/>
        <v>8.2377181306475897</v>
      </c>
      <c r="AP43" s="13">
        <f t="shared" si="77"/>
        <v>8.4059502734670044</v>
      </c>
      <c r="AQ43" s="13">
        <f t="shared" si="77"/>
        <v>8.575546629807338</v>
      </c>
      <c r="AR43" s="13">
        <f t="shared" si="77"/>
        <v>8.7464278422679502</v>
      </c>
      <c r="AS43" s="13">
        <f t="shared" si="77"/>
        <v>8.9185200566013201</v>
      </c>
      <c r="AT43" s="14">
        <f t="shared" si="77"/>
        <v>9.0917545061445644</v>
      </c>
      <c r="AV43" s="43">
        <f t="shared" si="79"/>
        <v>4.5</v>
      </c>
      <c r="AW43" s="15"/>
      <c r="AX43" s="15">
        <f t="shared" si="67"/>
        <v>-2.1092220418271572E-3</v>
      </c>
      <c r="AY43" s="15">
        <f t="shared" si="34"/>
        <v>1.0290218916459757</v>
      </c>
      <c r="AZ43" s="15">
        <f t="shared" si="35"/>
        <v>1.2325865400251161</v>
      </c>
      <c r="BA43" s="15">
        <f t="shared" si="36"/>
        <v>1.3281287922418388</v>
      </c>
      <c r="BB43" s="15">
        <f t="shared" si="37"/>
        <v>1.4071472192641965</v>
      </c>
      <c r="BC43" s="15">
        <f t="shared" si="38"/>
        <v>1.4694815080954011</v>
      </c>
      <c r="BD43" s="15">
        <f t="shared" si="39"/>
        <v>1.5156066031607416</v>
      </c>
      <c r="BE43" s="15">
        <f t="shared" si="40"/>
        <v>1.5464718810028979</v>
      </c>
      <c r="BF43" s="15">
        <f t="shared" si="41"/>
        <v>1.5633518901386476</v>
      </c>
      <c r="BG43" s="15">
        <f t="shared" si="42"/>
        <v>1.5677166696042759</v>
      </c>
      <c r="BH43" s="15">
        <f t="shared" si="43"/>
        <v>1.561125317046089</v>
      </c>
      <c r="BI43" s="15">
        <f t="shared" si="44"/>
        <v>1.5451432593785763</v>
      </c>
      <c r="BJ43" s="15">
        <f t="shared" si="45"/>
        <v>1.5212815571800347</v>
      </c>
      <c r="BK43" s="15">
        <f t="shared" si="46"/>
        <v>1.4909553777424911</v>
      </c>
      <c r="BL43" s="15">
        <f t="shared" si="47"/>
        <v>1.4554582769041797</v>
      </c>
      <c r="BM43" s="15">
        <f t="shared" si="48"/>
        <v>1.4159489155957463</v>
      </c>
      <c r="BN43" s="15">
        <f t="shared" si="49"/>
        <v>1.3734471160069515</v>
      </c>
      <c r="BO43" s="15">
        <f t="shared" si="50"/>
        <v>1.3288365913300735</v>
      </c>
      <c r="BP43" s="15">
        <f t="shared" si="51"/>
        <v>1.2828721624456589</v>
      </c>
      <c r="BQ43" s="15">
        <f t="shared" si="52"/>
        <v>1.236189741553845</v>
      </c>
      <c r="BR43" s="15">
        <f t="shared" si="53"/>
        <v>1.189317781361525</v>
      </c>
      <c r="BS43" s="15">
        <f t="shared" si="54"/>
        <v>1.1426892432819922</v>
      </c>
      <c r="BT43" s="15">
        <f t="shared" si="55"/>
        <v>1.096653426051684</v>
      </c>
      <c r="BU43" s="15">
        <f t="shared" si="56"/>
        <v>1.0514872214306747</v>
      </c>
      <c r="BV43" s="15">
        <f t="shared" si="57"/>
        <v>1.0074055341249399</v>
      </c>
      <c r="BW43" s="15">
        <f t="shared" si="58"/>
        <v>0.96457072794206378</v>
      </c>
      <c r="BX43" s="15">
        <f t="shared" si="59"/>
        <v>0.92310104853235886</v>
      </c>
      <c r="BY43" s="15">
        <f t="shared" si="60"/>
        <v>0.88307803305060073</v>
      </c>
      <c r="BZ43" s="15">
        <f t="shared" si="61"/>
        <v>0.84455295566294453</v>
      </c>
      <c r="CA43" s="15">
        <f t="shared" si="62"/>
        <v>0.80755238070821755</v>
      </c>
      <c r="CB43" s="15">
        <f t="shared" si="63"/>
        <v>0.7720829070021985</v>
      </c>
      <c r="ET43"/>
      <c r="EU43"/>
      <c r="EV43"/>
      <c r="EW43"/>
      <c r="EX43"/>
      <c r="EY43"/>
      <c r="EZ43"/>
      <c r="FA43"/>
      <c r="FB43"/>
      <c r="FC43"/>
      <c r="FD43"/>
      <c r="FE43"/>
      <c r="FF43"/>
      <c r="FG43"/>
      <c r="FH43"/>
      <c r="FI43"/>
      <c r="FJ43"/>
      <c r="FK43"/>
      <c r="FL43"/>
      <c r="FM43"/>
      <c r="FN43"/>
      <c r="FO43"/>
      <c r="FP43"/>
      <c r="FQ43"/>
      <c r="FR43"/>
      <c r="FS43"/>
      <c r="FT43"/>
      <c r="FU43"/>
      <c r="FV43"/>
      <c r="FW43"/>
    </row>
    <row r="44" spans="1:179">
      <c r="A44" s="21">
        <v>19</v>
      </c>
      <c r="B44" s="13">
        <f t="shared" si="64"/>
        <v>2.75</v>
      </c>
      <c r="C44" s="15">
        <f t="shared" si="68"/>
        <v>4.75</v>
      </c>
      <c r="D44" s="15">
        <f t="shared" si="69"/>
        <v>34.512479327903812</v>
      </c>
      <c r="E44" s="15">
        <f t="shared" si="70"/>
        <v>9.0079540844217405</v>
      </c>
      <c r="F44" s="15">
        <f t="shared" si="71"/>
        <v>2.8767569011513108</v>
      </c>
      <c r="G44" s="15">
        <f t="shared" si="72"/>
        <v>25.91369407761438</v>
      </c>
      <c r="H44" s="15"/>
      <c r="I44" s="146"/>
      <c r="J44" s="152"/>
      <c r="K44"/>
      <c r="L44" s="21">
        <v>19</v>
      </c>
      <c r="M44" s="13">
        <f t="shared" si="65"/>
        <v>2.75</v>
      </c>
      <c r="N44" s="15">
        <f t="shared" si="73"/>
        <v>4.75</v>
      </c>
      <c r="O44" s="15"/>
      <c r="P44" s="13">
        <f t="shared" si="66"/>
        <v>4.75</v>
      </c>
      <c r="Q44" s="13">
        <f t="shared" si="74"/>
        <v>5.1346859689760969</v>
      </c>
      <c r="R44" s="13">
        <f t="shared" si="75"/>
        <v>5.277546778570513</v>
      </c>
      <c r="S44" s="13">
        <f t="shared" si="78"/>
        <v>5.367727638395972</v>
      </c>
      <c r="T44" s="13">
        <f t="shared" si="78"/>
        <v>5.463744137493995</v>
      </c>
      <c r="U44" s="13">
        <f t="shared" si="78"/>
        <v>5.5652942419965541</v>
      </c>
      <c r="V44" s="13">
        <f t="shared" si="78"/>
        <v>5.6720807469569756</v>
      </c>
      <c r="W44" s="13">
        <f t="shared" si="78"/>
        <v>5.7838136207868942</v>
      </c>
      <c r="X44" s="13">
        <f t="shared" si="78"/>
        <v>5.9002118606029734</v>
      </c>
      <c r="Y44" s="13">
        <f t="shared" si="78"/>
        <v>6.0210048995163588</v>
      </c>
      <c r="Z44" s="13">
        <f t="shared" si="78"/>
        <v>6.1459336150010602</v>
      </c>
      <c r="AA44" s="13">
        <f t="shared" si="78"/>
        <v>6.2747509910752637</v>
      </c>
      <c r="AB44" s="13">
        <f t="shared" si="78"/>
        <v>6.4072224871624375</v>
      </c>
      <c r="AC44" s="13">
        <f t="shared" si="78"/>
        <v>6.5431261641512002</v>
      </c>
      <c r="AD44" s="13">
        <f t="shared" si="78"/>
        <v>6.6822526142012926</v>
      </c>
      <c r="AE44" s="13">
        <f t="shared" si="78"/>
        <v>6.8244047359458397</v>
      </c>
      <c r="AF44" s="13">
        <f t="shared" si="78"/>
        <v>6.9693973914535823</v>
      </c>
      <c r="AG44" s="13">
        <f t="shared" si="78"/>
        <v>7.1170569760259754</v>
      </c>
      <c r="AH44" s="13">
        <f t="shared" si="76"/>
        <v>7.2672209268743169</v>
      </c>
      <c r="AI44" s="13">
        <f t="shared" si="76"/>
        <v>7.419737192111322</v>
      </c>
      <c r="AJ44" s="13">
        <f t="shared" si="76"/>
        <v>7.5744636773833696</v>
      </c>
      <c r="AK44" s="13">
        <f t="shared" si="76"/>
        <v>7.731267683892467</v>
      </c>
      <c r="AL44" s="13">
        <f t="shared" ref="AL44:AT55" si="80">SQRT(AL$23^2+$N44^2)</f>
        <v>7.89002534850174</v>
      </c>
      <c r="AM44" s="13">
        <f t="shared" si="80"/>
        <v>8.0506210940523086</v>
      </c>
      <c r="AN44" s="13">
        <f t="shared" si="80"/>
        <v>8.2129470958968191</v>
      </c>
      <c r="AO44" s="13">
        <f t="shared" si="80"/>
        <v>8.3769027689236086</v>
      </c>
      <c r="AP44" s="13">
        <f t="shared" si="80"/>
        <v>8.5423942779527557</v>
      </c>
      <c r="AQ44" s="13">
        <f t="shared" si="80"/>
        <v>8.70933407328023</v>
      </c>
      <c r="AR44" s="13">
        <f t="shared" si="80"/>
        <v>8.8776404522823515</v>
      </c>
      <c r="AS44" s="13">
        <f t="shared" si="80"/>
        <v>9.0472371473284596</v>
      </c>
      <c r="AT44" s="14">
        <f t="shared" si="80"/>
        <v>9.2180529397481763</v>
      </c>
      <c r="AV44" s="43">
        <f t="shared" si="79"/>
        <v>4.75</v>
      </c>
      <c r="AW44" s="15"/>
      <c r="AX44" s="15">
        <f t="shared" si="67"/>
        <v>-1.8930413893407175E-3</v>
      </c>
      <c r="AY44" s="15">
        <f t="shared" si="34"/>
        <v>0.86332031968638578</v>
      </c>
      <c r="AZ44" s="15">
        <f t="shared" si="35"/>
        <v>1.0474770091641246</v>
      </c>
      <c r="BA44" s="15">
        <f t="shared" si="36"/>
        <v>1.1372224347726843</v>
      </c>
      <c r="BB44" s="15">
        <f t="shared" si="37"/>
        <v>1.2140779126259058</v>
      </c>
      <c r="BC44" s="15">
        <f t="shared" si="38"/>
        <v>1.2775202887659389</v>
      </c>
      <c r="BD44" s="15">
        <f t="shared" si="39"/>
        <v>1.3275684393817919</v>
      </c>
      <c r="BE44" s="15">
        <f t="shared" si="40"/>
        <v>1.3646726232744211</v>
      </c>
      <c r="BF44" s="15">
        <f t="shared" si="41"/>
        <v>1.3896051954292163</v>
      </c>
      <c r="BG44" s="15">
        <f t="shared" si="42"/>
        <v>1.4033601103337188</v>
      </c>
      <c r="BH44" s="15">
        <f t="shared" si="43"/>
        <v>1.4070656585505241</v>
      </c>
      <c r="BI44" s="15">
        <f t="shared" si="44"/>
        <v>1.4019124302613832</v>
      </c>
      <c r="BJ44" s="15">
        <f t="shared" si="45"/>
        <v>1.3890966791715693</v>
      </c>
      <c r="BK44" s="15">
        <f t="shared" si="46"/>
        <v>1.3697780438169218</v>
      </c>
      <c r="BL44" s="15">
        <f t="shared" si="47"/>
        <v>1.3450498786877003</v>
      </c>
      <c r="BM44" s="15">
        <f t="shared" si="48"/>
        <v>1.3159201365360556</v>
      </c>
      <c r="BN44" s="15">
        <f t="shared" si="49"/>
        <v>1.2833007087610169</v>
      </c>
      <c r="BO44" s="15">
        <f t="shared" si="50"/>
        <v>1.2480032718398015</v>
      </c>
      <c r="BP44" s="15">
        <f t="shared" si="51"/>
        <v>1.2107399252383895</v>
      </c>
      <c r="BQ44" s="15">
        <f t="shared" si="52"/>
        <v>1.1721271829906996</v>
      </c>
      <c r="BR44" s="15">
        <f t="shared" si="53"/>
        <v>1.1326921593013595</v>
      </c>
      <c r="BS44" s="15">
        <f t="shared" si="54"/>
        <v>1.0928800454028462</v>
      </c>
      <c r="BT44" s="15">
        <f t="shared" si="55"/>
        <v>1.053062198883407</v>
      </c>
      <c r="BU44" s="15">
        <f t="shared" si="56"/>
        <v>1.0135443537389273</v>
      </c>
      <c r="BV44" s="15">
        <f t="shared" si="57"/>
        <v>0.97457461015680014</v>
      </c>
      <c r="BW44" s="15">
        <f t="shared" si="58"/>
        <v>0.93635098083601664</v>
      </c>
      <c r="BX44" s="15">
        <f t="shared" si="59"/>
        <v>0.89902836003988762</v>
      </c>
      <c r="BY44" s="15">
        <f t="shared" si="60"/>
        <v>0.8627248474367526</v>
      </c>
      <c r="BZ44" s="15">
        <f t="shared" si="61"/>
        <v>0.82752740575494865</v>
      </c>
      <c r="CA44" s="15">
        <f t="shared" si="62"/>
        <v>0.79349686349842397</v>
      </c>
      <c r="CB44" s="15">
        <f t="shared" si="63"/>
        <v>0.76067229495552924</v>
      </c>
      <c r="ET44"/>
      <c r="EU44"/>
      <c r="EV44"/>
      <c r="EW44"/>
      <c r="EX44"/>
      <c r="EY44"/>
      <c r="EZ44"/>
      <c r="FA44"/>
      <c r="FB44"/>
      <c r="FC44"/>
      <c r="FD44"/>
      <c r="FE44"/>
      <c r="FF44"/>
      <c r="FG44"/>
      <c r="FH44"/>
      <c r="FI44"/>
      <c r="FJ44"/>
      <c r="FK44"/>
      <c r="FL44"/>
      <c r="FM44"/>
      <c r="FN44"/>
      <c r="FO44"/>
      <c r="FP44"/>
      <c r="FQ44"/>
      <c r="FR44"/>
      <c r="FS44"/>
      <c r="FT44"/>
      <c r="FU44"/>
      <c r="FV44"/>
      <c r="FW44"/>
    </row>
    <row r="45" spans="1:179">
      <c r="A45" s="21">
        <v>20</v>
      </c>
      <c r="B45" s="13">
        <f t="shared" si="64"/>
        <v>2.5</v>
      </c>
      <c r="C45" s="15">
        <f t="shared" si="68"/>
        <v>5</v>
      </c>
      <c r="D45" s="15">
        <f t="shared" si="69"/>
        <v>31.725056451402729</v>
      </c>
      <c r="E45" s="15">
        <f t="shared" si="70"/>
        <v>8.2796919724133176</v>
      </c>
      <c r="F45" s="15">
        <f t="shared" si="71"/>
        <v>2.6267552565900099</v>
      </c>
      <c r="G45" s="15">
        <f t="shared" si="72"/>
        <v>21.74872441148279</v>
      </c>
      <c r="H45" s="15"/>
      <c r="I45" s="146"/>
      <c r="J45" s="152"/>
      <c r="K45"/>
      <c r="L45" s="21">
        <v>20</v>
      </c>
      <c r="M45" s="13">
        <f t="shared" si="65"/>
        <v>2.5</v>
      </c>
      <c r="N45" s="15">
        <f t="shared" si="73"/>
        <v>5</v>
      </c>
      <c r="O45" s="15"/>
      <c r="P45" s="13">
        <f t="shared" si="66"/>
        <v>5</v>
      </c>
      <c r="Q45" s="13">
        <f t="shared" si="74"/>
        <v>5.3667960646926023</v>
      </c>
      <c r="R45" s="13">
        <f t="shared" si="75"/>
        <v>5.5036351623268054</v>
      </c>
      <c r="S45" s="13">
        <f t="shared" ref="S45:AG55" si="81">SQRT(S$23^2+$N45^2)</f>
        <v>5.5901699437494745</v>
      </c>
      <c r="T45" s="13">
        <f t="shared" si="81"/>
        <v>5.6824290580701486</v>
      </c>
      <c r="U45" s="13">
        <f t="shared" si="81"/>
        <v>5.78013840664737</v>
      </c>
      <c r="V45" s="13">
        <f t="shared" si="81"/>
        <v>5.8830264320330912</v>
      </c>
      <c r="W45" s="13">
        <f t="shared" si="81"/>
        <v>5.990826320300064</v>
      </c>
      <c r="X45" s="13">
        <f t="shared" si="81"/>
        <v>6.103277807866851</v>
      </c>
      <c r="Y45" s="13">
        <f t="shared" si="81"/>
        <v>6.2201286160335947</v>
      </c>
      <c r="Z45" s="13">
        <f t="shared" si="81"/>
        <v>6.3411355449950761</v>
      </c>
      <c r="AA45" s="13">
        <f t="shared" si="81"/>
        <v>6.4660652641308847</v>
      </c>
      <c r="AB45" s="13">
        <f t="shared" si="81"/>
        <v>6.59469483751902</v>
      </c>
      <c r="AC45" s="13">
        <f t="shared" si="81"/>
        <v>6.7268120235368549</v>
      </c>
      <c r="AD45" s="13">
        <f t="shared" si="81"/>
        <v>6.8622153857191046</v>
      </c>
      <c r="AE45" s="13">
        <f t="shared" si="81"/>
        <v>7.0007142492748553</v>
      </c>
      <c r="AF45" s="13">
        <f t="shared" si="81"/>
        <v>7.1421285342676377</v>
      </c>
      <c r="AG45" s="13">
        <f t="shared" si="81"/>
        <v>7.2862884927787483</v>
      </c>
      <c r="AH45" s="13">
        <f t="shared" si="76"/>
        <v>7.433034373659253</v>
      </c>
      <c r="AI45" s="13">
        <f t="shared" si="76"/>
        <v>7.5822160349069456</v>
      </c>
      <c r="AJ45" s="13">
        <f t="shared" si="76"/>
        <v>7.7336925203941229</v>
      </c>
      <c r="AK45" s="13">
        <f t="shared" si="76"/>
        <v>7.8873316146843981</v>
      </c>
      <c r="AL45" s="13">
        <f t="shared" si="80"/>
        <v>8.0430093870391577</v>
      </c>
      <c r="AM45" s="13">
        <f t="shared" si="80"/>
        <v>8.2006097334283634</v>
      </c>
      <c r="AN45" s="13">
        <f t="shared" si="80"/>
        <v>8.3600239234107452</v>
      </c>
      <c r="AO45" s="13">
        <f t="shared" si="80"/>
        <v>8.5211501571090746</v>
      </c>
      <c r="AP45" s="13">
        <f t="shared" si="80"/>
        <v>8.6838931361457927</v>
      </c>
      <c r="AQ45" s="13">
        <f t="shared" si="80"/>
        <v>8.8481636512894575</v>
      </c>
      <c r="AR45" s="13">
        <f t="shared" si="80"/>
        <v>9.013878188659973</v>
      </c>
      <c r="AS45" s="13">
        <f t="shared" si="80"/>
        <v>9.1809585556193429</v>
      </c>
      <c r="AT45" s="14">
        <f t="shared" si="80"/>
        <v>9.3493315269060808</v>
      </c>
      <c r="AV45" s="43">
        <f t="shared" si="79"/>
        <v>5</v>
      </c>
      <c r="AW45" s="15"/>
      <c r="AX45" s="15">
        <f t="shared" si="67"/>
        <v>-1.7084698538799975E-3</v>
      </c>
      <c r="AY45" s="15">
        <f t="shared" si="34"/>
        <v>0.72840631726782801</v>
      </c>
      <c r="AZ45" s="15">
        <f t="shared" si="35"/>
        <v>0.89389098908467679</v>
      </c>
      <c r="BA45" s="15">
        <f t="shared" si="36"/>
        <v>0.9770312599939327</v>
      </c>
      <c r="BB45" s="15">
        <f t="shared" si="37"/>
        <v>1.0501957839426377</v>
      </c>
      <c r="BC45" s="15">
        <f t="shared" si="38"/>
        <v>1.1126650685499646</v>
      </c>
      <c r="BD45" s="15">
        <f t="shared" si="39"/>
        <v>1.1641698849687472</v>
      </c>
      <c r="BE45" s="15">
        <f t="shared" si="40"/>
        <v>1.2048174536049661</v>
      </c>
      <c r="BF45" s="15">
        <f t="shared" si="41"/>
        <v>1.235013662502495</v>
      </c>
      <c r="BG45" s="15">
        <f t="shared" si="42"/>
        <v>1.2553875363036577</v>
      </c>
      <c r="BH45" s="15">
        <f t="shared" si="43"/>
        <v>1.2667222342638218</v>
      </c>
      <c r="BI45" s="15">
        <f t="shared" si="44"/>
        <v>1.2698951118281245</v>
      </c>
      <c r="BJ45" s="15">
        <f t="shared" si="45"/>
        <v>1.2658279579776173</v>
      </c>
      <c r="BK45" s="15">
        <f t="shared" si="46"/>
        <v>1.2554474597247771</v>
      </c>
      <c r="BL45" s="15">
        <f t="shared" si="47"/>
        <v>1.2396552272154486</v>
      </c>
      <c r="BM45" s="15">
        <f t="shared" si="48"/>
        <v>1.2193062865396809</v>
      </c>
      <c r="BN45" s="15">
        <f t="shared" si="49"/>
        <v>1.1951947482772483</v>
      </c>
      <c r="BO45" s="15">
        <f t="shared" si="50"/>
        <v>1.1680453240481163</v>
      </c>
      <c r="BP45" s="15">
        <f t="shared" si="51"/>
        <v>1.1385094348371787</v>
      </c>
      <c r="BQ45" s="15">
        <f t="shared" si="52"/>
        <v>1.1071647886867089</v>
      </c>
      <c r="BR45" s="15">
        <f t="shared" si="53"/>
        <v>1.074517468115213</v>
      </c>
      <c r="BS45" s="15">
        <f t="shared" si="54"/>
        <v>1.0410057362942866</v>
      </c>
      <c r="BT45" s="15">
        <f t="shared" si="55"/>
        <v>1.0070049310055993</v>
      </c>
      <c r="BU45" s="15">
        <f t="shared" si="56"/>
        <v>0.97283295851999041</v>
      </c>
      <c r="BV45" s="15">
        <f t="shared" si="57"/>
        <v>0.93875602214389031</v>
      </c>
      <c r="BW45" s="15">
        <f t="shared" si="58"/>
        <v>0.90499432162851434</v>
      </c>
      <c r="BX45" s="15">
        <f t="shared" si="59"/>
        <v>0.87172754113117523</v>
      </c>
      <c r="BY45" s="15">
        <f t="shared" si="60"/>
        <v>0.83910000713621369</v>
      </c>
      <c r="BZ45" s="15">
        <f t="shared" si="61"/>
        <v>0.80722544627280957</v>
      </c>
      <c r="CA45" s="15">
        <f t="shared" si="62"/>
        <v>0.77619130893415234</v>
      </c>
      <c r="CB45" s="15">
        <f t="shared" si="63"/>
        <v>0.74606265045712694</v>
      </c>
      <c r="ET45"/>
      <c r="EU45"/>
      <c r="EV45"/>
      <c r="EW45"/>
      <c r="EX45"/>
      <c r="EY45"/>
      <c r="EZ45"/>
      <c r="FA45"/>
      <c r="FB45"/>
      <c r="FC45"/>
      <c r="FD45"/>
      <c r="FE45"/>
      <c r="FF45"/>
      <c r="FG45"/>
      <c r="FH45"/>
      <c r="FI45"/>
      <c r="FJ45"/>
      <c r="FK45"/>
      <c r="FL45"/>
      <c r="FM45"/>
      <c r="FN45"/>
      <c r="FO45"/>
      <c r="FP45"/>
      <c r="FQ45"/>
      <c r="FR45"/>
      <c r="FS45"/>
      <c r="FT45"/>
      <c r="FU45"/>
      <c r="FV45"/>
      <c r="FW45"/>
    </row>
    <row r="46" spans="1:179">
      <c r="A46" s="21">
        <v>21</v>
      </c>
      <c r="B46" s="13">
        <f t="shared" si="64"/>
        <v>2.25</v>
      </c>
      <c r="C46" s="15">
        <f t="shared" si="68"/>
        <v>5.25</v>
      </c>
      <c r="D46" s="15">
        <f t="shared" si="69"/>
        <v>29.171548816720723</v>
      </c>
      <c r="E46" s="15">
        <f t="shared" si="70"/>
        <v>7.6120756585154314</v>
      </c>
      <c r="F46" s="15">
        <f t="shared" si="71"/>
        <v>2.3767504249406639</v>
      </c>
      <c r="G46" s="15">
        <f t="shared" si="72"/>
        <v>18.092004056057036</v>
      </c>
      <c r="H46" s="15"/>
      <c r="I46" s="146"/>
      <c r="J46" s="152"/>
      <c r="K46"/>
      <c r="L46" s="21">
        <v>21</v>
      </c>
      <c r="M46" s="13">
        <f t="shared" si="65"/>
        <v>2.25</v>
      </c>
      <c r="N46" s="15">
        <f t="shared" si="73"/>
        <v>5.25</v>
      </c>
      <c r="O46" s="15"/>
      <c r="P46" s="13">
        <f t="shared" si="66"/>
        <v>5.25</v>
      </c>
      <c r="Q46" s="13">
        <f t="shared" si="74"/>
        <v>5.6004464107783409</v>
      </c>
      <c r="R46" s="13">
        <f t="shared" si="75"/>
        <v>5.7317100415146616</v>
      </c>
      <c r="S46" s="13">
        <f t="shared" si="81"/>
        <v>5.814851674806504</v>
      </c>
      <c r="T46" s="13">
        <f t="shared" si="81"/>
        <v>5.9036005962463278</v>
      </c>
      <c r="U46" s="13">
        <f t="shared" si="81"/>
        <v>5.9977078955214216</v>
      </c>
      <c r="V46" s="13">
        <f t="shared" si="81"/>
        <v>6.0969254546861569</v>
      </c>
      <c r="W46" s="13">
        <f t="shared" si="81"/>
        <v>6.2010079825783162</v>
      </c>
      <c r="X46" s="13">
        <f t="shared" si="81"/>
        <v>6.3097147320619813</v>
      </c>
      <c r="Y46" s="13">
        <f t="shared" si="81"/>
        <v>6.4228109111198348</v>
      </c>
      <c r="Z46" s="13">
        <f t="shared" si="81"/>
        <v>6.5400688069774926</v>
      </c>
      <c r="AA46" s="13">
        <f t="shared" si="81"/>
        <v>6.6612686479378684</v>
      </c>
      <c r="AB46" s="13">
        <f t="shared" si="81"/>
        <v>6.7861992307918584</v>
      </c>
      <c r="AC46" s="13">
        <f t="shared" si="81"/>
        <v>6.9146583429696653</v>
      </c>
      <c r="AD46" s="13">
        <f t="shared" si="81"/>
        <v>7.0464530084291344</v>
      </c>
      <c r="AE46" s="13">
        <f t="shared" si="81"/>
        <v>7.1813995850391175</v>
      </c>
      <c r="AF46" s="13">
        <f t="shared" si="81"/>
        <v>7.3193237392535107</v>
      </c>
      <c r="AG46" s="13">
        <f t="shared" si="81"/>
        <v>7.4600603214719383</v>
      </c>
      <c r="AH46" s="13">
        <f t="shared" si="76"/>
        <v>7.6034531628727748</v>
      </c>
      <c r="AI46" s="13">
        <f t="shared" si="76"/>
        <v>7.7493548118536939</v>
      </c>
      <c r="AJ46" s="13">
        <f t="shared" si="76"/>
        <v>7.8976262256452729</v>
      </c>
      <c r="AK46" s="13">
        <f t="shared" si="76"/>
        <v>8.048136430255143</v>
      </c>
      <c r="AL46" s="13">
        <f t="shared" si="80"/>
        <v>8.2007621597019877</v>
      </c>
      <c r="AM46" s="13">
        <f t="shared" si="80"/>
        <v>8.3553874835342015</v>
      </c>
      <c r="AN46" s="13">
        <f t="shared" si="80"/>
        <v>8.5119034299033256</v>
      </c>
      <c r="AO46" s="13">
        <f t="shared" si="80"/>
        <v>8.6702076099710563</v>
      </c>
      <c r="AP46" s="13">
        <f t="shared" si="80"/>
        <v>8.8302038481566214</v>
      </c>
      <c r="AQ46" s="13">
        <f t="shared" si="80"/>
        <v>8.9918018216595499</v>
      </c>
      <c r="AR46" s="13">
        <f t="shared" si="80"/>
        <v>9.1549167118002774</v>
      </c>
      <c r="AS46" s="13">
        <f t="shared" si="80"/>
        <v>9.3194688689860428</v>
      </c>
      <c r="AT46" s="14">
        <f t="shared" si="80"/>
        <v>9.4853834925109908</v>
      </c>
      <c r="AV46" s="43">
        <f t="shared" si="79"/>
        <v>5.25</v>
      </c>
      <c r="AW46" s="15"/>
      <c r="AX46" s="15">
        <f t="shared" si="67"/>
        <v>-1.5496325205260747E-3</v>
      </c>
      <c r="AY46" s="15">
        <f t="shared" si="34"/>
        <v>0.61794934098858489</v>
      </c>
      <c r="AZ46" s="15">
        <f t="shared" si="35"/>
        <v>0.76603673971529185</v>
      </c>
      <c r="BA46" s="15">
        <f t="shared" si="36"/>
        <v>0.84233828286586965</v>
      </c>
      <c r="BB46" s="15">
        <f t="shared" si="37"/>
        <v>0.9109790119102853</v>
      </c>
      <c r="BC46" s="15">
        <f t="shared" si="38"/>
        <v>0.97115210527787399</v>
      </c>
      <c r="BD46" s="15">
        <f t="shared" si="39"/>
        <v>1.0224180239881941</v>
      </c>
      <c r="BE46" s="15">
        <f t="shared" si="40"/>
        <v>1.0646569350108388</v>
      </c>
      <c r="BF46" s="15">
        <f t="shared" si="41"/>
        <v>1.0980148099070763</v>
      </c>
      <c r="BG46" s="15">
        <f t="shared" si="42"/>
        <v>1.1228481004707342</v>
      </c>
      <c r="BH46" s="15">
        <f t="shared" si="43"/>
        <v>1.1396706965406131</v>
      </c>
      <c r="BI46" s="15">
        <f t="shared" si="44"/>
        <v>1.1491056925035017</v>
      </c>
      <c r="BJ46" s="15">
        <f t="shared" si="45"/>
        <v>1.1518434454988913</v>
      </c>
      <c r="BK46" s="15">
        <f t="shared" si="46"/>
        <v>1.1486065606296896</v>
      </c>
      <c r="BL46" s="15">
        <f t="shared" si="47"/>
        <v>1.1401218034320466</v>
      </c>
      <c r="BM46" s="15">
        <f t="shared" si="48"/>
        <v>1.1270985048247735</v>
      </c>
      <c r="BN46" s="15">
        <f t="shared" si="49"/>
        <v>1.1102127594481837</v>
      </c>
      <c r="BO46" s="15">
        <f t="shared" si="50"/>
        <v>1.0900965886984071</v>
      </c>
      <c r="BP46" s="15">
        <f t="shared" si="51"/>
        <v>1.0673312088993441</v>
      </c>
      <c r="BQ46" s="15">
        <f t="shared" si="52"/>
        <v>1.042443580977944</v>
      </c>
      <c r="BR46" s="15">
        <f t="shared" si="53"/>
        <v>1.015905494604834</v>
      </c>
      <c r="BS46" s="15">
        <f t="shared" si="54"/>
        <v>0.98813453712152355</v>
      </c>
      <c r="BT46" s="15">
        <f t="shared" si="55"/>
        <v>0.95949640149578774</v>
      </c>
      <c r="BU46" s="15">
        <f t="shared" si="56"/>
        <v>0.93030808861656233</v>
      </c>
      <c r="BV46" s="15">
        <f t="shared" si="57"/>
        <v>0.90084165179518649</v>
      </c>
      <c r="BW46" s="15">
        <f t="shared" si="58"/>
        <v>0.87132821247742764</v>
      </c>
      <c r="BX46" s="15">
        <f t="shared" si="59"/>
        <v>0.8419620448995554</v>
      </c>
      <c r="BY46" s="15">
        <f t="shared" si="60"/>
        <v>0.81290458398939192</v>
      </c>
      <c r="BZ46" s="15">
        <f t="shared" si="61"/>
        <v>0.784288256197892</v>
      </c>
      <c r="CA46" s="15">
        <f t="shared" si="62"/>
        <v>0.75622006849602819</v>
      </c>
      <c r="CB46" s="15">
        <f t="shared" si="63"/>
        <v>0.72878491795890987</v>
      </c>
      <c r="ET46"/>
      <c r="EU46"/>
      <c r="EV46"/>
      <c r="EW46"/>
      <c r="EX46"/>
      <c r="EY46"/>
      <c r="EZ46"/>
      <c r="FA46"/>
      <c r="FB46"/>
      <c r="FC46"/>
      <c r="FD46"/>
      <c r="FE46"/>
      <c r="FF46"/>
      <c r="FG46"/>
      <c r="FH46"/>
      <c r="FI46"/>
      <c r="FJ46"/>
      <c r="FK46"/>
      <c r="FL46"/>
      <c r="FM46"/>
      <c r="FN46"/>
      <c r="FO46"/>
      <c r="FP46"/>
      <c r="FQ46"/>
      <c r="FR46"/>
      <c r="FS46"/>
      <c r="FT46"/>
      <c r="FU46"/>
      <c r="FV46"/>
      <c r="FW46"/>
    </row>
    <row r="47" spans="1:179">
      <c r="A47" s="21">
        <v>22</v>
      </c>
      <c r="B47" s="13">
        <f t="shared" si="64"/>
        <v>2</v>
      </c>
      <c r="C47" s="15">
        <f t="shared" si="68"/>
        <v>5.5</v>
      </c>
      <c r="D47" s="15">
        <f t="shared" si="69"/>
        <v>26.834418765273156</v>
      </c>
      <c r="E47" s="15">
        <f t="shared" si="70"/>
        <v>7.0007459477492349</v>
      </c>
      <c r="F47" s="15">
        <f t="shared" si="71"/>
        <v>2.1267431316119678</v>
      </c>
      <c r="G47" s="15">
        <f t="shared" si="72"/>
        <v>14.888788360536001</v>
      </c>
      <c r="H47" s="15"/>
      <c r="I47" s="146"/>
      <c r="J47" s="152"/>
      <c r="K47"/>
      <c r="L47" s="21">
        <v>22</v>
      </c>
      <c r="M47" s="13">
        <f t="shared" si="65"/>
        <v>2</v>
      </c>
      <c r="N47" s="15">
        <f t="shared" si="73"/>
        <v>5.5</v>
      </c>
      <c r="O47" s="15"/>
      <c r="P47" s="13">
        <f t="shared" si="66"/>
        <v>5.5</v>
      </c>
      <c r="Q47" s="13">
        <f t="shared" si="74"/>
        <v>5.8354519962038935</v>
      </c>
      <c r="R47" s="13">
        <f t="shared" si="75"/>
        <v>5.9615434243155523</v>
      </c>
      <c r="S47" s="13">
        <f t="shared" si="81"/>
        <v>6.0415229867972862</v>
      </c>
      <c r="T47" s="13">
        <f t="shared" si="81"/>
        <v>6.126989472816156</v>
      </c>
      <c r="U47" s="13">
        <f t="shared" si="81"/>
        <v>6.2177166226839251</v>
      </c>
      <c r="V47" s="13">
        <f t="shared" si="81"/>
        <v>6.3134776470658389</v>
      </c>
      <c r="W47" s="13">
        <f t="shared" si="81"/>
        <v>6.4140470843298303</v>
      </c>
      <c r="X47" s="13">
        <f t="shared" si="81"/>
        <v>6.5192024052026492</v>
      </c>
      <c r="Y47" s="13">
        <f t="shared" si="81"/>
        <v>6.6287253676706204</v>
      </c>
      <c r="Z47" s="13">
        <f t="shared" si="81"/>
        <v>6.7424031324150295</v>
      </c>
      <c r="AA47" s="13">
        <f t="shared" si="81"/>
        <v>6.8600291544569982</v>
      </c>
      <c r="AB47" s="13">
        <f t="shared" si="81"/>
        <v>6.9814038702828247</v>
      </c>
      <c r="AC47" s="13">
        <f t="shared" si="81"/>
        <v>7.1063352017759476</v>
      </c>
      <c r="AD47" s="13">
        <f t="shared" si="81"/>
        <v>7.2346388990743691</v>
      </c>
      <c r="AE47" s="13">
        <f t="shared" si="81"/>
        <v>7.3661387442811588</v>
      </c>
      <c r="AF47" s="13">
        <f t="shared" si="81"/>
        <v>7.5006666370396706</v>
      </c>
      <c r="AG47" s="13">
        <f t="shared" si="81"/>
        <v>7.6380625815713241</v>
      </c>
      <c r="AH47" s="13">
        <f t="shared" si="76"/>
        <v>7.7781745930520225</v>
      </c>
      <c r="AI47" s="13">
        <f t="shared" si="76"/>
        <v>7.9208585393251409</v>
      </c>
      <c r="AJ47" s="13">
        <f t="shared" si="76"/>
        <v>8.0659779320303127</v>
      </c>
      <c r="AK47" s="13">
        <f t="shared" si="76"/>
        <v>8.2134036793524281</v>
      </c>
      <c r="AL47" s="13">
        <f t="shared" si="80"/>
        <v>8.3630138108220287</v>
      </c>
      <c r="AM47" s="13">
        <f t="shared" si="80"/>
        <v>8.5146931829632013</v>
      </c>
      <c r="AN47" s="13">
        <f t="shared" si="80"/>
        <v>8.6683331731077349</v>
      </c>
      <c r="AO47" s="13">
        <f t="shared" si="80"/>
        <v>8.8238313673823132</v>
      </c>
      <c r="AP47" s="13">
        <f t="shared" si="80"/>
        <v>8.9810912477270826</v>
      </c>
      <c r="AQ47" s="13">
        <f t="shared" si="80"/>
        <v>9.1400218818118812</v>
      </c>
      <c r="AR47" s="13">
        <f t="shared" si="80"/>
        <v>9.3005376188691375</v>
      </c>
      <c r="AS47" s="13">
        <f t="shared" si="80"/>
        <v>9.462557793746889</v>
      </c>
      <c r="AT47" s="14">
        <f t="shared" si="80"/>
        <v>9.6260064408871031</v>
      </c>
      <c r="AV47" s="43">
        <f t="shared" si="79"/>
        <v>5.5</v>
      </c>
      <c r="AW47" s="15"/>
      <c r="AX47" s="15">
        <f t="shared" si="67"/>
        <v>-1.4119585569256177E-3</v>
      </c>
      <c r="AY47" s="15">
        <f t="shared" si="34"/>
        <v>0.52701249596528055</v>
      </c>
      <c r="AZ47" s="15">
        <f t="shared" si="35"/>
        <v>0.65921391095408832</v>
      </c>
      <c r="BA47" s="15">
        <f t="shared" si="36"/>
        <v>0.72879524726484357</v>
      </c>
      <c r="BB47" s="15">
        <f t="shared" si="37"/>
        <v>0.79254214632005571</v>
      </c>
      <c r="BC47" s="15">
        <f t="shared" si="38"/>
        <v>0.84962947049948145</v>
      </c>
      <c r="BD47" s="15">
        <f t="shared" si="39"/>
        <v>0.89952789826161028</v>
      </c>
      <c r="BE47" s="15">
        <f t="shared" si="40"/>
        <v>0.94197458479669394</v>
      </c>
      <c r="BF47" s="15">
        <f t="shared" si="41"/>
        <v>0.97693684633714684</v>
      </c>
      <c r="BG47" s="15">
        <f t="shared" si="42"/>
        <v>1.0045725827132677</v>
      </c>
      <c r="BH47" s="15">
        <f t="shared" si="43"/>
        <v>1.0251904549261548</v>
      </c>
      <c r="BI47" s="15">
        <f t="shared" si="44"/>
        <v>1.0392120737547068</v>
      </c>
      <c r="BJ47" s="15">
        <f t="shared" si="45"/>
        <v>1.0471377259045924</v>
      </c>
      <c r="BK47" s="15">
        <f t="shared" si="46"/>
        <v>1.0495165257550971</v>
      </c>
      <c r="BL47" s="15">
        <f t="shared" si="47"/>
        <v>1.0469213632526881</v>
      </c>
      <c r="BM47" s="15">
        <f t="shared" si="48"/>
        <v>1.0399286289479892</v>
      </c>
      <c r="BN47" s="15">
        <f t="shared" si="49"/>
        <v>1.0291024272059597</v>
      </c>
      <c r="BO47" s="15">
        <f t="shared" si="50"/>
        <v>1.0149828211203369</v>
      </c>
      <c r="BP47" s="15">
        <f t="shared" si="51"/>
        <v>0.99807756691852734</v>
      </c>
      <c r="BQ47" s="15">
        <f t="shared" si="52"/>
        <v>0.9788567708948841</v>
      </c>
      <c r="BR47" s="15">
        <f t="shared" si="53"/>
        <v>0.95774991950105548</v>
      </c>
      <c r="BS47" s="15">
        <f t="shared" si="54"/>
        <v>0.93514477763565484</v>
      </c>
      <c r="BT47" s="15">
        <f t="shared" si="55"/>
        <v>0.91138770931310731</v>
      </c>
      <c r="BU47" s="15">
        <f t="shared" si="56"/>
        <v>0.88678503987214508</v>
      </c>
      <c r="BV47" s="15">
        <f t="shared" si="57"/>
        <v>0.86160514359645834</v>
      </c>
      <c r="BW47" s="15">
        <f t="shared" si="58"/>
        <v>0.83608100117969641</v>
      </c>
      <c r="BX47" s="15">
        <f t="shared" si="59"/>
        <v>0.81041302568480755</v>
      </c>
      <c r="BY47" s="15">
        <f t="shared" si="60"/>
        <v>0.78477200255285173</v>
      </c>
      <c r="BZ47" s="15">
        <f t="shared" si="61"/>
        <v>0.75930202866684637</v>
      </c>
      <c r="CA47" s="15">
        <f t="shared" si="62"/>
        <v>0.73412336785278087</v>
      </c>
      <c r="CB47" s="15">
        <f t="shared" si="63"/>
        <v>0.7093351661812769</v>
      </c>
      <c r="ET47"/>
      <c r="EU47"/>
      <c r="EV47"/>
      <c r="EW47"/>
      <c r="EX47"/>
      <c r="EY47"/>
      <c r="EZ47"/>
      <c r="FA47"/>
      <c r="FB47"/>
      <c r="FC47"/>
      <c r="FD47"/>
      <c r="FE47"/>
      <c r="FF47"/>
      <c r="FG47"/>
      <c r="FH47"/>
      <c r="FI47"/>
      <c r="FJ47"/>
      <c r="FK47"/>
      <c r="FL47"/>
      <c r="FM47"/>
      <c r="FN47"/>
      <c r="FO47"/>
      <c r="FP47"/>
      <c r="FQ47"/>
      <c r="FR47"/>
      <c r="FS47"/>
      <c r="FT47"/>
      <c r="FU47"/>
      <c r="FV47"/>
      <c r="FW47"/>
    </row>
    <row r="48" spans="1:179">
      <c r="A48" s="21">
        <v>23</v>
      </c>
      <c r="B48" s="13">
        <f t="shared" si="64"/>
        <v>1.75</v>
      </c>
      <c r="C48" s="15">
        <f t="shared" si="68"/>
        <v>5.75</v>
      </c>
      <c r="D48" s="15">
        <f t="shared" si="69"/>
        <v>24.696528596169792</v>
      </c>
      <c r="E48" s="15">
        <f t="shared" si="70"/>
        <v>6.4413684201803685</v>
      </c>
      <c r="F48" s="15">
        <f t="shared" si="71"/>
        <v>1.876733908546236</v>
      </c>
      <c r="G48" s="15">
        <f t="shared" si="72"/>
        <v>12.088734531591397</v>
      </c>
      <c r="H48" s="15"/>
      <c r="I48" s="146"/>
      <c r="J48" s="152"/>
      <c r="K48"/>
      <c r="L48" s="21">
        <v>23</v>
      </c>
      <c r="M48" s="13">
        <f t="shared" si="65"/>
        <v>1.75</v>
      </c>
      <c r="N48" s="15">
        <f t="shared" si="73"/>
        <v>5.75</v>
      </c>
      <c r="O48" s="15"/>
      <c r="P48" s="13">
        <f t="shared" si="66"/>
        <v>5.75</v>
      </c>
      <c r="Q48" s="13">
        <f t="shared" si="74"/>
        <v>6.0716554579455515</v>
      </c>
      <c r="R48" s="13">
        <f t="shared" si="75"/>
        <v>6.19293952820468</v>
      </c>
      <c r="S48" s="13">
        <f t="shared" si="81"/>
        <v>6.2699681019922267</v>
      </c>
      <c r="T48" s="13">
        <f t="shared" si="81"/>
        <v>6.3523617655168225</v>
      </c>
      <c r="U48" s="13">
        <f t="shared" si="81"/>
        <v>6.4399145957069956</v>
      </c>
      <c r="V48" s="13">
        <f t="shared" si="81"/>
        <v>6.5324191537285783</v>
      </c>
      <c r="W48" s="13">
        <f t="shared" si="81"/>
        <v>6.6296681666581172</v>
      </c>
      <c r="X48" s="13">
        <f t="shared" si="81"/>
        <v>6.7314560089181299</v>
      </c>
      <c r="Y48" s="13">
        <f t="shared" si="81"/>
        <v>6.8375799812506761</v>
      </c>
      <c r="Z48" s="13">
        <f t="shared" si="81"/>
        <v>6.9478413913963237</v>
      </c>
      <c r="AA48" s="13">
        <f t="shared" si="81"/>
        <v>7.0620464456133396</v>
      </c>
      <c r="AB48" s="13">
        <f t="shared" si="81"/>
        <v>7.1800069637849244</v>
      </c>
      <c r="AC48" s="13">
        <f t="shared" si="81"/>
        <v>7.3015409332551169</v>
      </c>
      <c r="AD48" s="13">
        <f t="shared" si="81"/>
        <v>7.426472917879658</v>
      </c>
      <c r="AE48" s="13">
        <f t="shared" si="81"/>
        <v>7.5546343392648732</v>
      </c>
      <c r="AF48" s="13">
        <f t="shared" si="81"/>
        <v>7.6858636469820354</v>
      </c>
      <c r="AG48" s="13">
        <f t="shared" si="81"/>
        <v>7.8200063938592788</v>
      </c>
      <c r="AH48" s="13">
        <f t="shared" si="76"/>
        <v>7.9569152314197744</v>
      </c>
      <c r="AI48" s="13">
        <f t="shared" si="76"/>
        <v>8.0964498392814122</v>
      </c>
      <c r="AJ48" s="13">
        <f t="shared" si="76"/>
        <v>8.2384768009626637</v>
      </c>
      <c r="AK48" s="13">
        <f t="shared" si="76"/>
        <v>8.3828694371318946</v>
      </c>
      <c r="AL48" s="13">
        <f t="shared" si="80"/>
        <v>8.5295076059524089</v>
      </c>
      <c r="AM48" s="13">
        <f t="shared" si="80"/>
        <v>8.6782774788548913</v>
      </c>
      <c r="AN48" s="13">
        <f t="shared" si="80"/>
        <v>8.8290712988399864</v>
      </c>
      <c r="AO48" s="13">
        <f t="shared" si="80"/>
        <v>8.9817871272926535</v>
      </c>
      <c r="AP48" s="13">
        <f t="shared" si="80"/>
        <v>9.1363285842837332</v>
      </c>
      <c r="AQ48" s="13">
        <f t="shared" si="80"/>
        <v>9.2926045864439963</v>
      </c>
      <c r="AR48" s="13">
        <f t="shared" si="80"/>
        <v>9.4505290857178998</v>
      </c>
      <c r="AS48" s="13">
        <f t="shared" si="80"/>
        <v>9.6100208116319923</v>
      </c>
      <c r="AT48" s="14">
        <f t="shared" si="80"/>
        <v>9.7710030191377992</v>
      </c>
      <c r="AV48" s="43">
        <f t="shared" si="79"/>
        <v>5.75</v>
      </c>
      <c r="AW48" s="15"/>
      <c r="AX48" s="15">
        <f t="shared" si="67"/>
        <v>-1.2918486607788259E-3</v>
      </c>
      <c r="AY48" s="15">
        <f t="shared" si="34"/>
        <v>0.45173445115002203</v>
      </c>
      <c r="AZ48" s="15">
        <f t="shared" si="35"/>
        <v>0.56961844426290575</v>
      </c>
      <c r="BA48" s="15">
        <f t="shared" si="36"/>
        <v>0.63280282962660284</v>
      </c>
      <c r="BB48" s="15">
        <f t="shared" si="37"/>
        <v>0.6915864320928784</v>
      </c>
      <c r="BC48" s="15">
        <f t="shared" si="38"/>
        <v>0.74516762086496624</v>
      </c>
      <c r="BD48" s="15">
        <f t="shared" si="39"/>
        <v>0.79298089032475727</v>
      </c>
      <c r="BE48" s="15">
        <f t="shared" si="40"/>
        <v>0.8346799193804797</v>
      </c>
      <c r="BF48" s="15">
        <f t="shared" si="41"/>
        <v>0.87011391061271015</v>
      </c>
      <c r="BG48" s="15">
        <f t="shared" si="42"/>
        <v>0.89929994614235076</v>
      </c>
      <c r="BH48" s="15">
        <f t="shared" si="43"/>
        <v>0.92239371926758862</v>
      </c>
      <c r="BI48" s="15">
        <f t="shared" si="44"/>
        <v>0.93966053252592874</v>
      </c>
      <c r="BJ48" s="15">
        <f t="shared" si="45"/>
        <v>0.9514479636816463</v>
      </c>
      <c r="BK48" s="15">
        <f t="shared" si="46"/>
        <v>0.9581611415274397</v>
      </c>
      <c r="BL48" s="15">
        <f t="shared" si="47"/>
        <v>0.96024117458331093</v>
      </c>
      <c r="BM48" s="15">
        <f t="shared" si="48"/>
        <v>0.95814695282535378</v>
      </c>
      <c r="BN48" s="15">
        <f t="shared" si="49"/>
        <v>0.95234029824678157</v>
      </c>
      <c r="BO48" s="15">
        <f t="shared" si="50"/>
        <v>0.94327426885111654</v>
      </c>
      <c r="BP48" s="15">
        <f t="shared" si="51"/>
        <v>0.93138431238124819</v>
      </c>
      <c r="BQ48" s="15">
        <f t="shared" si="52"/>
        <v>0.91708190849327875</v>
      </c>
      <c r="BR48" s="15">
        <f t="shared" si="53"/>
        <v>0.90075031892457613</v>
      </c>
      <c r="BS48" s="15">
        <f t="shared" si="54"/>
        <v>0.88274207334033894</v>
      </c>
      <c r="BT48" s="15">
        <f t="shared" si="55"/>
        <v>0.86337784456375577</v>
      </c>
      <c r="BU48" s="15">
        <f t="shared" si="56"/>
        <v>0.84294640331795068</v>
      </c>
      <c r="BV48" s="15">
        <f t="shared" si="57"/>
        <v>0.82170538380166069</v>
      </c>
      <c r="BW48" s="15">
        <f t="shared" si="58"/>
        <v>0.79988263338306698</v>
      </c>
      <c r="BX48" s="15">
        <f t="shared" si="59"/>
        <v>0.77767795977025478</v>
      </c>
      <c r="BY48" s="15">
        <f t="shared" si="60"/>
        <v>0.75526512559571912</v>
      </c>
      <c r="BZ48" s="15">
        <f t="shared" si="61"/>
        <v>0.73279397261128698</v>
      </c>
      <c r="CA48" s="15">
        <f t="shared" si="62"/>
        <v>0.71039258535571448</v>
      </c>
      <c r="CB48" s="15">
        <f t="shared" si="63"/>
        <v>0.68816942732487807</v>
      </c>
      <c r="ET48"/>
      <c r="EU48"/>
      <c r="EV48"/>
      <c r="EW48"/>
      <c r="EX48"/>
      <c r="EY48"/>
      <c r="EZ48"/>
      <c r="FA48"/>
      <c r="FB48"/>
      <c r="FC48"/>
      <c r="FD48"/>
      <c r="FE48"/>
      <c r="FF48"/>
      <c r="FG48"/>
      <c r="FH48"/>
      <c r="FI48"/>
      <c r="FJ48"/>
      <c r="FK48"/>
      <c r="FL48"/>
      <c r="FM48"/>
      <c r="FN48"/>
      <c r="FO48"/>
      <c r="FP48"/>
      <c r="FQ48"/>
      <c r="FR48"/>
      <c r="FS48"/>
      <c r="FT48"/>
      <c r="FU48"/>
      <c r="FV48"/>
      <c r="FW48"/>
    </row>
    <row r="49" spans="1:179">
      <c r="A49" s="21">
        <v>24</v>
      </c>
      <c r="B49" s="13">
        <f t="shared" si="64"/>
        <v>1.5</v>
      </c>
      <c r="C49" s="15">
        <f t="shared" si="68"/>
        <v>6</v>
      </c>
      <c r="D49" s="15">
        <f t="shared" si="69"/>
        <v>22.74149374604848</v>
      </c>
      <c r="E49" s="15">
        <f t="shared" si="70"/>
        <v>5.9297527927772844</v>
      </c>
      <c r="F49" s="15">
        <f t="shared" si="71"/>
        <v>1.6267231516401386</v>
      </c>
      <c r="G49" s="15">
        <f t="shared" si="72"/>
        <v>9.6460661515135779</v>
      </c>
      <c r="H49" s="15"/>
      <c r="I49" s="146"/>
      <c r="J49" s="152"/>
      <c r="K49"/>
      <c r="L49" s="21">
        <v>24</v>
      </c>
      <c r="M49" s="13">
        <f t="shared" si="65"/>
        <v>1.5</v>
      </c>
      <c r="N49" s="15">
        <f t="shared" si="73"/>
        <v>6</v>
      </c>
      <c r="O49" s="15"/>
      <c r="P49" s="13">
        <f t="shared" si="66"/>
        <v>6</v>
      </c>
      <c r="Q49" s="13">
        <f t="shared" si="74"/>
        <v>6.3089222534439271</v>
      </c>
      <c r="R49" s="13">
        <f t="shared" si="75"/>
        <v>6.4257295305669375</v>
      </c>
      <c r="S49" s="13">
        <f t="shared" si="81"/>
        <v>6.5</v>
      </c>
      <c r="T49" s="13">
        <f t="shared" si="81"/>
        <v>6.5795136598383923</v>
      </c>
      <c r="U49" s="13">
        <f t="shared" si="81"/>
        <v>6.6640828326184538</v>
      </c>
      <c r="V49" s="13">
        <f t="shared" si="81"/>
        <v>6.7535176019612182</v>
      </c>
      <c r="W49" s="13">
        <f t="shared" si="81"/>
        <v>6.8476273263079968</v>
      </c>
      <c r="X49" s="13">
        <f t="shared" si="81"/>
        <v>6.946221994724902</v>
      </c>
      <c r="Y49" s="13">
        <f t="shared" si="81"/>
        <v>7.0491134194308431</v>
      </c>
      <c r="Z49" s="13">
        <f t="shared" si="81"/>
        <v>7.156116265125938</v>
      </c>
      <c r="AA49" s="13">
        <f t="shared" si="81"/>
        <v>7.2670489196096648</v>
      </c>
      <c r="AB49" s="13">
        <f t="shared" si="81"/>
        <v>7.381734213584231</v>
      </c>
      <c r="AC49" s="13">
        <f t="shared" si="81"/>
        <v>7.5</v>
      </c>
      <c r="AD49" s="13">
        <f t="shared" si="81"/>
        <v>7.6216796049164914</v>
      </c>
      <c r="AE49" s="13">
        <f t="shared" si="81"/>
        <v>7.7466121627457252</v>
      </c>
      <c r="AF49" s="13">
        <f t="shared" si="81"/>
        <v>7.8746428490440126</v>
      </c>
      <c r="AG49" s="13">
        <f t="shared" si="81"/>
        <v>8.0056230238501733</v>
      </c>
      <c r="AH49" s="13">
        <f t="shared" si="76"/>
        <v>8.1394102980498531</v>
      </c>
      <c r="AI49" s="13">
        <f t="shared" si="76"/>
        <v>8.2758685344802334</v>
      </c>
      <c r="AJ49" s="13">
        <f t="shared" si="76"/>
        <v>8.4148677945645716</v>
      </c>
      <c r="AK49" s="13">
        <f t="shared" si="76"/>
        <v>8.5562842402528911</v>
      </c>
      <c r="AL49" s="13">
        <f t="shared" si="80"/>
        <v>8.6999999999999993</v>
      </c>
      <c r="AM49" s="13">
        <f t="shared" si="80"/>
        <v>8.8459030064770658</v>
      </c>
      <c r="AN49" s="13">
        <f t="shared" si="80"/>
        <v>8.9938868127189586</v>
      </c>
      <c r="AO49" s="13">
        <f t="shared" si="80"/>
        <v>9.143850392476903</v>
      </c>
      <c r="AP49" s="13">
        <f t="shared" si="80"/>
        <v>9.2956979296876892</v>
      </c>
      <c r="AQ49" s="13">
        <f t="shared" si="80"/>
        <v>9.4493386011932063</v>
      </c>
      <c r="AR49" s="13">
        <f t="shared" si="80"/>
        <v>9.6046863561492728</v>
      </c>
      <c r="AS49" s="13">
        <f t="shared" si="80"/>
        <v>9.7616596949494205</v>
      </c>
      <c r="AT49" s="14">
        <f t="shared" si="80"/>
        <v>9.9201814499534233</v>
      </c>
      <c r="AV49" s="43">
        <f t="shared" si="79"/>
        <v>6</v>
      </c>
      <c r="AW49" s="15"/>
      <c r="AX49" s="15">
        <f t="shared" si="67"/>
        <v>-1.1864373985277759E-3</v>
      </c>
      <c r="AY49" s="15">
        <f t="shared" si="34"/>
        <v>0.3890835735555076</v>
      </c>
      <c r="AZ49" s="15">
        <f t="shared" si="35"/>
        <v>0.4941740174551042</v>
      </c>
      <c r="BA49" s="15">
        <f t="shared" si="36"/>
        <v>0.55139344344456098</v>
      </c>
      <c r="BB49" s="15">
        <f t="shared" si="37"/>
        <v>0.60533304703887802</v>
      </c>
      <c r="BC49" s="15">
        <f t="shared" si="38"/>
        <v>0.65523842660882947</v>
      </c>
      <c r="BD49" s="15">
        <f t="shared" si="39"/>
        <v>0.70054245202363374</v>
      </c>
      <c r="BE49" s="15">
        <f t="shared" si="40"/>
        <v>0.7408565664909843</v>
      </c>
      <c r="BF49" s="15">
        <f t="shared" si="41"/>
        <v>0.77595605160857828</v>
      </c>
      <c r="BG49" s="15">
        <f t="shared" si="42"/>
        <v>0.80576122947010931</v>
      </c>
      <c r="BH49" s="15">
        <f t="shared" si="43"/>
        <v>0.8303163945892581</v>
      </c>
      <c r="BI49" s="15">
        <f t="shared" si="44"/>
        <v>0.84976799596524311</v>
      </c>
      <c r="BJ49" s="15">
        <f t="shared" si="45"/>
        <v>0.86434327476270645</v>
      </c>
      <c r="BK49" s="15">
        <f t="shared" si="46"/>
        <v>0.87433024465243059</v>
      </c>
      <c r="BL49" s="15">
        <f t="shared" si="47"/>
        <v>0.88005960731267707</v>
      </c>
      <c r="BM49" s="15">
        <f t="shared" si="48"/>
        <v>0.88188894163257825</v>
      </c>
      <c r="BN49" s="15">
        <f t="shared" si="49"/>
        <v>0.88018929950731783</v>
      </c>
      <c r="BO49" s="15">
        <f t="shared" si="50"/>
        <v>0.87533418471993552</v>
      </c>
      <c r="BP49" s="15">
        <f t="shared" si="51"/>
        <v>0.86769078066426863</v>
      </c>
      <c r="BQ49" s="15">
        <f t="shared" si="52"/>
        <v>0.85761322134843165</v>
      </c>
      <c r="BR49" s="15">
        <f t="shared" si="53"/>
        <v>0.84543766087672723</v>
      </c>
      <c r="BS49" s="15">
        <f t="shared" si="54"/>
        <v>0.83147888203215714</v>
      </c>
      <c r="BT49" s="15">
        <f t="shared" si="55"/>
        <v>0.81602818788083498</v>
      </c>
      <c r="BU49" s="15">
        <f t="shared" si="56"/>
        <v>0.79935233567972308</v>
      </c>
      <c r="BV49" s="15">
        <f t="shared" si="57"/>
        <v>0.781693295083558</v>
      </c>
      <c r="BW49" s="15">
        <f t="shared" si="58"/>
        <v>0.76326863909523257</v>
      </c>
      <c r="BX49" s="15">
        <f t="shared" si="59"/>
        <v>0.7442724037418782</v>
      </c>
      <c r="BY49" s="15">
        <f t="shared" si="60"/>
        <v>0.72487627926496301</v>
      </c>
      <c r="BZ49" s="15">
        <f t="shared" si="61"/>
        <v>0.70523102052501951</v>
      </c>
      <c r="CA49" s="15">
        <f t="shared" si="62"/>
        <v>0.68546798668221665</v>
      </c>
      <c r="CB49" s="15">
        <f t="shared" si="63"/>
        <v>0.66570073973366306</v>
      </c>
      <c r="ET49"/>
      <c r="EU49"/>
      <c r="EV49"/>
      <c r="EW49"/>
      <c r="EX49"/>
      <c r="EY49"/>
      <c r="EZ49"/>
      <c r="FA49"/>
      <c r="FB49"/>
      <c r="FC49"/>
      <c r="FD49"/>
      <c r="FE49"/>
      <c r="FF49"/>
      <c r="FG49"/>
      <c r="FH49"/>
      <c r="FI49"/>
      <c r="FJ49"/>
      <c r="FK49"/>
      <c r="FL49"/>
      <c r="FM49"/>
      <c r="FN49"/>
      <c r="FO49"/>
      <c r="FP49"/>
      <c r="FQ49"/>
      <c r="FR49"/>
      <c r="FS49"/>
      <c r="FT49"/>
      <c r="FU49"/>
      <c r="FV49"/>
      <c r="FW49"/>
    </row>
    <row r="50" spans="1:179">
      <c r="A50" s="21">
        <v>25</v>
      </c>
      <c r="B50" s="13">
        <f t="shared" si="64"/>
        <v>1.25</v>
      </c>
      <c r="C50" s="15">
        <f t="shared" si="68"/>
        <v>6.25</v>
      </c>
      <c r="D50" s="15">
        <f t="shared" si="69"/>
        <v>20.953875984733681</v>
      </c>
      <c r="E50" s="15">
        <f t="shared" si="70"/>
        <v>5.4619212163477702</v>
      </c>
      <c r="F50" s="15">
        <f t="shared" si="71"/>
        <v>1.376711160478751</v>
      </c>
      <c r="G50" s="15">
        <f t="shared" si="72"/>
        <v>7.5194878962016496</v>
      </c>
      <c r="H50" s="15"/>
      <c r="I50" s="146"/>
      <c r="J50" s="152"/>
      <c r="K50"/>
      <c r="L50" s="21">
        <v>25</v>
      </c>
      <c r="M50" s="13">
        <f t="shared" si="65"/>
        <v>1.25</v>
      </c>
      <c r="N50" s="15">
        <f t="shared" si="73"/>
        <v>6.25</v>
      </c>
      <c r="O50" s="15"/>
      <c r="P50" s="13">
        <f t="shared" si="66"/>
        <v>6.25</v>
      </c>
      <c r="Q50" s="13">
        <f t="shared" si="74"/>
        <v>6.5471367787758945</v>
      </c>
      <c r="R50" s="13">
        <f t="shared" si="75"/>
        <v>6.6597672632007194</v>
      </c>
      <c r="S50" s="13">
        <f t="shared" si="81"/>
        <v>6.7314560089181299</v>
      </c>
      <c r="T50" s="13">
        <f t="shared" si="81"/>
        <v>6.8082670335409139</v>
      </c>
      <c r="U50" s="13">
        <f t="shared" si="81"/>
        <v>6.8900290275150509</v>
      </c>
      <c r="V50" s="13">
        <f t="shared" si="81"/>
        <v>6.9765679241300305</v>
      </c>
      <c r="W50" s="13">
        <f t="shared" si="81"/>
        <v>7.0677082565708664</v>
      </c>
      <c r="X50" s="13">
        <f t="shared" si="81"/>
        <v>7.1632743909472012</v>
      </c>
      <c r="Y50" s="13">
        <f t="shared" si="81"/>
        <v>7.2630916282255447</v>
      </c>
      <c r="Z50" s="13">
        <f t="shared" si="81"/>
        <v>7.3669871725149623</v>
      </c>
      <c r="AA50" s="13">
        <f t="shared" si="81"/>
        <v>7.4747909669769363</v>
      </c>
      <c r="AB50" s="13">
        <f t="shared" si="81"/>
        <v>7.5863364017159167</v>
      </c>
      <c r="AC50" s="13">
        <f t="shared" si="81"/>
        <v>7.7014609003746815</v>
      </c>
      <c r="AD50" s="13">
        <f t="shared" si="81"/>
        <v>7.8200063938592788</v>
      </c>
      <c r="AE50" s="13">
        <f t="shared" si="81"/>
        <v>7.9418196907257981</v>
      </c>
      <c r="AF50" s="13">
        <f t="shared" si="81"/>
        <v>8.0667527543615716</v>
      </c>
      <c r="AG50" s="13">
        <f t="shared" si="81"/>
        <v>8.1946628972764959</v>
      </c>
      <c r="AH50" s="13">
        <f t="shared" ref="AH50:AK55" si="82">SQRT(AH$23^2+$N50^2)</f>
        <v>8.3254129026733565</v>
      </c>
      <c r="AI50" s="13">
        <f t="shared" si="82"/>
        <v>8.4588710830701288</v>
      </c>
      <c r="AJ50" s="13">
        <f t="shared" si="82"/>
        <v>8.5949112851733389</v>
      </c>
      <c r="AK50" s="13">
        <f t="shared" si="82"/>
        <v>8.7334128495107795</v>
      </c>
      <c r="AL50" s="13">
        <f t="shared" si="80"/>
        <v>8.8742605325739667</v>
      </c>
      <c r="AM50" s="13">
        <f t="shared" si="80"/>
        <v>9.017344398435716</v>
      </c>
      <c r="AN50" s="13">
        <f t="shared" si="80"/>
        <v>9.1625596860266079</v>
      </c>
      <c r="AO50" s="13">
        <f t="shared" si="80"/>
        <v>9.3098066574983189</v>
      </c>
      <c r="AP50" s="13">
        <f t="shared" si="80"/>
        <v>9.4589904323875924</v>
      </c>
      <c r="AQ50" s="13">
        <f t="shared" si="80"/>
        <v>9.6100208116319905</v>
      </c>
      <c r="AR50" s="13">
        <f t="shared" si="80"/>
        <v>9.7628120948833175</v>
      </c>
      <c r="AS50" s="13">
        <f t="shared" si="80"/>
        <v>9.9172828940189053</v>
      </c>
      <c r="AT50" s="14">
        <f t="shared" si="80"/>
        <v>10.073355945264716</v>
      </c>
      <c r="AV50" s="43">
        <f t="shared" si="79"/>
        <v>6.25</v>
      </c>
      <c r="AW50" s="15"/>
      <c r="AX50" s="15">
        <f t="shared" si="67"/>
        <v>-1.0934207064831984E-3</v>
      </c>
      <c r="AY50" s="15">
        <f t="shared" si="34"/>
        <v>0.33666918183310962</v>
      </c>
      <c r="AZ50" s="15">
        <f t="shared" si="35"/>
        <v>0.43039122926559925</v>
      </c>
      <c r="BA50" s="15">
        <f t="shared" si="36"/>
        <v>0.48212505122412386</v>
      </c>
      <c r="BB50" s="15">
        <f t="shared" si="37"/>
        <v>0.53145264255192937</v>
      </c>
      <c r="BC50" s="15">
        <f t="shared" si="38"/>
        <v>0.57767876208709668</v>
      </c>
      <c r="BD50" s="15">
        <f t="shared" si="39"/>
        <v>0.62025600526087943</v>
      </c>
      <c r="BE50" s="15">
        <f t="shared" si="40"/>
        <v>0.65878144738099753</v>
      </c>
      <c r="BF50" s="15">
        <f t="shared" si="41"/>
        <v>0.69298808529860867</v>
      </c>
      <c r="BG50" s="15">
        <f t="shared" si="42"/>
        <v>0.72273247630206816</v>
      </c>
      <c r="BH50" s="15">
        <f t="shared" si="43"/>
        <v>0.74797990768860045</v>
      </c>
      <c r="BI50" s="15">
        <f t="shared" si="44"/>
        <v>0.76878828449830638</v>
      </c>
      <c r="BJ50" s="15">
        <f t="shared" si="45"/>
        <v>0.78529172935678548</v>
      </c>
      <c r="BK50" s="15">
        <f t="shared" si="46"/>
        <v>0.79768467562565659</v>
      </c>
      <c r="BL50" s="15">
        <f t="shared" si="47"/>
        <v>0.80620702511716813</v>
      </c>
      <c r="BM50" s="15">
        <f t="shared" si="48"/>
        <v>0.81113074977827271</v>
      </c>
      <c r="BN50" s="15">
        <f t="shared" si="49"/>
        <v>0.81274815210551266</v>
      </c>
      <c r="BO50" s="15">
        <f t="shared" si="50"/>
        <v>0.81136186563292201</v>
      </c>
      <c r="BP50" s="15">
        <f t="shared" si="51"/>
        <v>0.80727657484046356</v>
      </c>
      <c r="BQ50" s="15">
        <f t="shared" si="52"/>
        <v>0.80079236088724326</v>
      </c>
      <c r="BR50" s="15">
        <f t="shared" si="53"/>
        <v>0.79219953181331426</v>
      </c>
      <c r="BS50" s="15">
        <f t="shared" si="54"/>
        <v>0.78177476875695617</v>
      </c>
      <c r="BT50" s="15">
        <f t="shared" si="55"/>
        <v>0.7697784087365801</v>
      </c>
      <c r="BU50" s="15">
        <f t="shared" si="56"/>
        <v>0.75645268542899491</v>
      </c>
      <c r="BV50" s="15">
        <f t="shared" si="57"/>
        <v>0.74202075848215066</v>
      </c>
      <c r="BW50" s="15">
        <f t="shared" si="58"/>
        <v>0.7266863762237199</v>
      </c>
      <c r="BX50" s="15">
        <f t="shared" si="59"/>
        <v>0.71063403380870449</v>
      </c>
      <c r="BY50" s="15">
        <f t="shared" si="60"/>
        <v>0.69402950712534017</v>
      </c>
      <c r="BZ50" s="15">
        <f t="shared" si="61"/>
        <v>0.67702066089542834</v>
      </c>
      <c r="CA50" s="15">
        <f t="shared" si="62"/>
        <v>0.65973844652788571</v>
      </c>
      <c r="CB50" s="15">
        <f t="shared" si="63"/>
        <v>0.64229802090574351</v>
      </c>
      <c r="ET50"/>
      <c r="EU50"/>
      <c r="EV50"/>
      <c r="EW50"/>
      <c r="EX50"/>
      <c r="EY50"/>
      <c r="EZ50"/>
      <c r="FA50"/>
      <c r="FB50"/>
      <c r="FC50"/>
      <c r="FD50"/>
      <c r="FE50"/>
      <c r="FF50"/>
      <c r="FG50"/>
      <c r="FH50"/>
      <c r="FI50"/>
      <c r="FJ50"/>
      <c r="FK50"/>
      <c r="FL50"/>
      <c r="FM50"/>
      <c r="FN50"/>
      <c r="FO50"/>
      <c r="FP50"/>
      <c r="FQ50"/>
      <c r="FR50"/>
      <c r="FS50"/>
      <c r="FT50"/>
      <c r="FU50"/>
      <c r="FV50"/>
      <c r="FW50"/>
    </row>
    <row r="51" spans="1:179">
      <c r="A51" s="21">
        <v>26</v>
      </c>
      <c r="B51" s="13">
        <f t="shared" si="64"/>
        <v>1</v>
      </c>
      <c r="C51" s="15">
        <f t="shared" si="68"/>
        <v>6.5</v>
      </c>
      <c r="D51" s="15">
        <f t="shared" si="69"/>
        <v>19.319274211833203</v>
      </c>
      <c r="E51" s="15">
        <f t="shared" si="70"/>
        <v>5.034143774570861</v>
      </c>
      <c r="F51" s="15">
        <f t="shared" si="71"/>
        <v>1.1266981659402318</v>
      </c>
      <c r="G51" s="15">
        <f t="shared" si="72"/>
        <v>5.6719605578884247</v>
      </c>
      <c r="H51" s="15"/>
      <c r="I51" s="146"/>
      <c r="J51" s="152"/>
      <c r="K51"/>
      <c r="L51" s="21">
        <v>26</v>
      </c>
      <c r="M51" s="13">
        <f t="shared" si="65"/>
        <v>1</v>
      </c>
      <c r="N51" s="15">
        <f t="shared" si="73"/>
        <v>6.5</v>
      </c>
      <c r="O51" s="15"/>
      <c r="P51" s="13">
        <f t="shared" si="66"/>
        <v>6.5</v>
      </c>
      <c r="Q51" s="13">
        <f>SQRT(Q$23^2+$N51^2)</f>
        <v>6.7861992307918575</v>
      </c>
      <c r="R51" s="13">
        <f t="shared" si="75"/>
        <v>6.8949256703752795</v>
      </c>
      <c r="S51" s="13">
        <f t="shared" si="81"/>
        <v>6.9641941385920596</v>
      </c>
      <c r="T51" s="13">
        <f t="shared" si="81"/>
        <v>7.0384657419071095</v>
      </c>
      <c r="U51" s="13">
        <f t="shared" si="81"/>
        <v>7.1175838597096979</v>
      </c>
      <c r="V51" s="13">
        <f t="shared" si="81"/>
        <v>7.2013887549555324</v>
      </c>
      <c r="W51" s="13">
        <f t="shared" si="81"/>
        <v>7.2897187874430385</v>
      </c>
      <c r="X51" s="13">
        <f t="shared" si="81"/>
        <v>7.3824115301167001</v>
      </c>
      <c r="Y51" s="13">
        <f t="shared" si="81"/>
        <v>7.4793047805260615</v>
      </c>
      <c r="Z51" s="13">
        <f t="shared" si="81"/>
        <v>7.5802374632988903</v>
      </c>
      <c r="AA51" s="13">
        <f t="shared" si="81"/>
        <v>7.6850504227363405</v>
      </c>
      <c r="AB51" s="13">
        <f t="shared" si="81"/>
        <v>7.7935871073594862</v>
      </c>
      <c r="AC51" s="13">
        <f t="shared" si="81"/>
        <v>7.9056941504209481</v>
      </c>
      <c r="AD51" s="13">
        <f t="shared" si="81"/>
        <v>8.0212218520621903</v>
      </c>
      <c r="AE51" s="13">
        <f t="shared" si="81"/>
        <v>8.1400245699874887</v>
      </c>
      <c r="AF51" s="13">
        <f t="shared" si="81"/>
        <v>8.2619610262939389</v>
      </c>
      <c r="AG51" s="13">
        <f t="shared" si="81"/>
        <v>8.386894538504702</v>
      </c>
      <c r="AH51" s="13">
        <f t="shared" si="82"/>
        <v>8.5146931829632013</v>
      </c>
      <c r="AI51" s="13">
        <f t="shared" si="82"/>
        <v>8.6452298986203946</v>
      </c>
      <c r="AJ51" s="13">
        <f t="shared" si="82"/>
        <v>8.7783825389418979</v>
      </c>
      <c r="AK51" s="13">
        <f t="shared" si="82"/>
        <v>8.9140338792266203</v>
      </c>
      <c r="AL51" s="13">
        <f t="shared" si="80"/>
        <v>9.0520715861066847</v>
      </c>
      <c r="AM51" s="13">
        <f t="shared" si="80"/>
        <v>9.1923881554251174</v>
      </c>
      <c r="AN51" s="13">
        <f t="shared" si="80"/>
        <v>9.3348808240919716</v>
      </c>
      <c r="AO51" s="13">
        <f t="shared" si="80"/>
        <v>9.4794514609232543</v>
      </c>
      <c r="AP51" s="13">
        <f t="shared" si="80"/>
        <v>9.6260064408871031</v>
      </c>
      <c r="AQ51" s="13">
        <f t="shared" si="80"/>
        <v>9.7744565066299209</v>
      </c>
      <c r="AR51" s="13">
        <f t="shared" si="80"/>
        <v>9.9247166206396038</v>
      </c>
      <c r="AS51" s="13">
        <f t="shared" si="80"/>
        <v>10.076705810928491</v>
      </c>
      <c r="AT51" s="14">
        <f t="shared" si="80"/>
        <v>10.230347012687302</v>
      </c>
      <c r="AV51" s="43">
        <f t="shared" si="79"/>
        <v>6.5</v>
      </c>
      <c r="AW51" s="15"/>
      <c r="AX51" s="15">
        <f t="shared" si="67"/>
        <v>-1.0109289076213003E-3</v>
      </c>
      <c r="AY51" s="15">
        <f t="shared" si="34"/>
        <v>0.29259707511035016</v>
      </c>
      <c r="AZ51" s="15">
        <f t="shared" si="35"/>
        <v>0.3762523304084473</v>
      </c>
      <c r="BA51" s="15">
        <f t="shared" si="36"/>
        <v>0.42298900716655824</v>
      </c>
      <c r="BB51" s="15">
        <f t="shared" si="37"/>
        <v>0.46799820812514953</v>
      </c>
      <c r="BC51" s="15">
        <f t="shared" si="38"/>
        <v>0.51064829562047098</v>
      </c>
      <c r="BD51" s="15">
        <f t="shared" si="39"/>
        <v>0.55042393927875988</v>
      </c>
      <c r="BE51" s="15">
        <f t="shared" si="40"/>
        <v>0.58692610967166758</v>
      </c>
      <c r="BF51" s="15">
        <f t="shared" si="41"/>
        <v>0.61986770880842545</v>
      </c>
      <c r="BG51" s="15">
        <f t="shared" si="42"/>
        <v>0.64906581362826055</v>
      </c>
      <c r="BH51" s="15">
        <f t="shared" si="43"/>
        <v>0.67443150745798786</v>
      </c>
      <c r="BI51" s="15">
        <f t="shared" si="44"/>
        <v>0.69595820704032052</v>
      </c>
      <c r="BJ51" s="15">
        <f t="shared" si="45"/>
        <v>0.71370928074160034</v>
      </c>
      <c r="BK51" s="15">
        <f t="shared" si="46"/>
        <v>0.72780561681168499</v>
      </c>
      <c r="BL51" s="15">
        <f t="shared" si="47"/>
        <v>0.7384136557574843</v>
      </c>
      <c r="BM51" s="15">
        <f t="shared" si="48"/>
        <v>0.745734260700053</v>
      </c>
      <c r="BN51" s="15">
        <f t="shared" si="49"/>
        <v>0.749992672688926</v>
      </c>
      <c r="BO51" s="15">
        <f t="shared" si="50"/>
        <v>0.75142968941136912</v>
      </c>
      <c r="BP51" s="15">
        <f t="shared" si="51"/>
        <v>0.75029411767427601</v>
      </c>
      <c r="BQ51" s="15">
        <f t="shared" si="52"/>
        <v>0.74683648236536548</v>
      </c>
      <c r="BR51" s="15">
        <f t="shared" si="53"/>
        <v>0.7413039257441737</v>
      </c>
      <c r="BS51" s="15">
        <f t="shared" si="54"/>
        <v>0.73393619842689162</v>
      </c>
      <c r="BT51" s="15">
        <f t="shared" si="55"/>
        <v>0.72496262448148874</v>
      </c>
      <c r="BU51" s="15">
        <f t="shared" si="56"/>
        <v>0.71459991477598683</v>
      </c>
      <c r="BV51" s="15">
        <f t="shared" si="57"/>
        <v>0.70305070245545376</v>
      </c>
      <c r="BW51" s="15">
        <f t="shared" si="58"/>
        <v>0.69050267982462932</v>
      </c>
      <c r="BX51" s="15">
        <f t="shared" si="59"/>
        <v>0.67712822503331205</v>
      </c>
      <c r="BY51" s="15">
        <f t="shared" si="60"/>
        <v>0.66308441824505571</v>
      </c>
      <c r="BZ51" s="15">
        <f t="shared" si="61"/>
        <v>0.64851335922756903</v>
      </c>
      <c r="CA51" s="15">
        <f t="shared" si="62"/>
        <v>0.63354271066816703</v>
      </c>
      <c r="CB51" s="15">
        <f t="shared" si="63"/>
        <v>0.61828640339094554</v>
      </c>
      <c r="ET51"/>
      <c r="EU51"/>
      <c r="EV51"/>
      <c r="EW51"/>
      <c r="EX51"/>
      <c r="EY51"/>
      <c r="EZ51"/>
      <c r="FA51"/>
      <c r="FB51"/>
      <c r="FC51"/>
      <c r="FD51"/>
      <c r="FE51"/>
      <c r="FF51"/>
      <c r="FG51"/>
      <c r="FH51"/>
      <c r="FI51"/>
      <c r="FJ51"/>
      <c r="FK51"/>
      <c r="FL51"/>
      <c r="FM51"/>
      <c r="FN51"/>
      <c r="FO51"/>
      <c r="FP51"/>
      <c r="FQ51"/>
      <c r="FR51"/>
      <c r="FS51"/>
      <c r="FT51"/>
      <c r="FU51"/>
      <c r="FV51"/>
      <c r="FW51"/>
    </row>
    <row r="52" spans="1:179">
      <c r="A52" s="21">
        <v>27</v>
      </c>
      <c r="B52" s="13">
        <f t="shared" si="64"/>
        <v>0.75</v>
      </c>
      <c r="C52" s="15">
        <f t="shared" si="68"/>
        <v>6.75</v>
      </c>
      <c r="D52" s="15">
        <f t="shared" si="69"/>
        <v>17.824350347492789</v>
      </c>
      <c r="E52" s="15">
        <f t="shared" si="70"/>
        <v>4.6429530699157491</v>
      </c>
      <c r="F52" s="15">
        <f t="shared" si="71"/>
        <v>0.8766843494444565</v>
      </c>
      <c r="G52" s="15">
        <f t="shared" si="72"/>
        <v>4.070404291600231</v>
      </c>
      <c r="H52" s="15"/>
      <c r="I52" s="146"/>
      <c r="J52" s="152"/>
      <c r="K52"/>
      <c r="L52" s="21">
        <v>27</v>
      </c>
      <c r="M52" s="13">
        <f t="shared" si="65"/>
        <v>0.75</v>
      </c>
      <c r="N52" s="15">
        <f t="shared" si="73"/>
        <v>6.75</v>
      </c>
      <c r="O52" s="15"/>
      <c r="P52" s="13">
        <f t="shared" si="66"/>
        <v>6.75</v>
      </c>
      <c r="Q52" s="13">
        <f>SQRT(Q$23^2+$N52^2)</f>
        <v>7.0260230571782216</v>
      </c>
      <c r="R52" s="13">
        <f t="shared" si="75"/>
        <v>7.1310938852324757</v>
      </c>
      <c r="S52" s="13">
        <f t="shared" si="81"/>
        <v>7.1980900244439843</v>
      </c>
      <c r="T52" s="13">
        <f t="shared" si="81"/>
        <v>7.2699724896315807</v>
      </c>
      <c r="U52" s="13">
        <f t="shared" si="81"/>
        <v>7.3465978520673092</v>
      </c>
      <c r="V52" s="13">
        <f t="shared" si="81"/>
        <v>7.4278193300591253</v>
      </c>
      <c r="W52" s="13">
        <f t="shared" si="81"/>
        <v>7.5134878718209164</v>
      </c>
      <c r="X52" s="13">
        <f t="shared" si="81"/>
        <v>7.6034531628727748</v>
      </c>
      <c r="Y52" s="13">
        <f t="shared" si="81"/>
        <v>7.6975645499079768</v>
      </c>
      <c r="Z52" s="13">
        <f t="shared" si="81"/>
        <v>7.7956718761117694</v>
      </c>
      <c r="AA52" s="13">
        <f t="shared" si="81"/>
        <v>7.8976262256452729</v>
      </c>
      <c r="AB52" s="13">
        <f t="shared" si="81"/>
        <v>8.0032805773632614</v>
      </c>
      <c r="AC52" s="13">
        <f t="shared" si="81"/>
        <v>8.1124903697939761</v>
      </c>
      <c r="AD52" s="13">
        <f t="shared" si="81"/>
        <v>8.2251139809731519</v>
      </c>
      <c r="AE52" s="13">
        <f t="shared" si="81"/>
        <v>8.3410131279119799</v>
      </c>
      <c r="AF52" s="13">
        <f t="shared" si="81"/>
        <v>8.4600531913221442</v>
      </c>
      <c r="AG52" s="13">
        <f t="shared" si="81"/>
        <v>8.5821034717602895</v>
      </c>
      <c r="AH52" s="13">
        <f t="shared" si="82"/>
        <v>8.7070373836339989</v>
      </c>
      <c r="AI52" s="13">
        <f t="shared" si="82"/>
        <v>8.8347325935763337</v>
      </c>
      <c r="AJ52" s="13">
        <f t="shared" si="82"/>
        <v>8.9650711095897062</v>
      </c>
      <c r="AK52" s="13">
        <f t="shared" si="82"/>
        <v>9.0979393271223792</v>
      </c>
      <c r="AL52" s="13">
        <f t="shared" si="80"/>
        <v>9.2332280379074358</v>
      </c>
      <c r="AM52" s="13">
        <f t="shared" si="80"/>
        <v>9.3708324069956568</v>
      </c>
      <c r="AN52" s="13">
        <f t="shared" si="80"/>
        <v>9.5106519229756277</v>
      </c>
      <c r="AO52" s="13">
        <f t="shared" si="80"/>
        <v>9.6525903259177017</v>
      </c>
      <c r="AP52" s="13">
        <f t="shared" si="80"/>
        <v>9.7965555171192698</v>
      </c>
      <c r="AQ52" s="13">
        <f t="shared" si="80"/>
        <v>9.942459454279911</v>
      </c>
      <c r="AR52" s="13">
        <f t="shared" si="80"/>
        <v>10.090218035305282</v>
      </c>
      <c r="AS52" s="13">
        <f t="shared" si="80"/>
        <v>10.239750973534465</v>
      </c>
      <c r="AT52" s="14">
        <f t="shared" si="80"/>
        <v>10.390981666810889</v>
      </c>
      <c r="AV52" s="43">
        <f t="shared" si="79"/>
        <v>6.75</v>
      </c>
      <c r="AW52" s="15"/>
      <c r="AX52" s="15">
        <f t="shared" si="67"/>
        <v>-9.3743201858984763E-4</v>
      </c>
      <c r="AY52" s="15">
        <f t="shared" si="34"/>
        <v>0.25535899217171748</v>
      </c>
      <c r="AZ52" s="15">
        <f t="shared" si="35"/>
        <v>0.33011804391955746</v>
      </c>
      <c r="BA52" s="15">
        <f t="shared" si="36"/>
        <v>0.37233214943183385</v>
      </c>
      <c r="BB52" s="15">
        <f t="shared" si="37"/>
        <v>0.413344522654427</v>
      </c>
      <c r="BC52" s="15">
        <f t="shared" si="38"/>
        <v>0.4525869734937466</v>
      </c>
      <c r="BD52" s="15">
        <f t="shared" si="39"/>
        <v>0.48958257710614445</v>
      </c>
      <c r="BE52" s="15">
        <f t="shared" si="40"/>
        <v>0.52394767305306778</v>
      </c>
      <c r="BF52" s="15">
        <f t="shared" si="41"/>
        <v>0.55539027035947897</v>
      </c>
      <c r="BG52" s="15">
        <f t="shared" si="42"/>
        <v>0.58370552961443156</v>
      </c>
      <c r="BH52" s="15">
        <f t="shared" si="43"/>
        <v>0.60876902466351168</v>
      </c>
      <c r="BI52" s="15">
        <f t="shared" si="44"/>
        <v>0.63052846586152556</v>
      </c>
      <c r="BJ52" s="15">
        <f t="shared" si="45"/>
        <v>0.64899450788849966</v>
      </c>
      <c r="BK52" s="15">
        <f t="shared" si="46"/>
        <v>0.66423118130181169</v>
      </c>
      <c r="BL52" s="15">
        <f t="shared" si="47"/>
        <v>0.67634639041299149</v>
      </c>
      <c r="BM52" s="15">
        <f t="shared" si="48"/>
        <v>0.68548282066854083</v>
      </c>
      <c r="BN52" s="15">
        <f t="shared" si="49"/>
        <v>0.69180950392362717</v>
      </c>
      <c r="BO52" s="15">
        <f t="shared" si="50"/>
        <v>0.69551420483631554</v>
      </c>
      <c r="BP52" s="15">
        <f t="shared" si="51"/>
        <v>0.69679671894038819</v>
      </c>
      <c r="BQ52" s="15">
        <f t="shared" si="52"/>
        <v>0.6958631138988931</v>
      </c>
      <c r="BR52" s="15">
        <f t="shared" si="53"/>
        <v>0.69292089982320504</v>
      </c>
      <c r="BS52" s="15">
        <f t="shared" si="54"/>
        <v>0.68817508131069982</v>
      </c>
      <c r="BT52" s="15">
        <f t="shared" si="55"/>
        <v>0.6818250214372088</v>
      </c>
      <c r="BU52" s="15">
        <f t="shared" si="56"/>
        <v>0.6740620345337488</v>
      </c>
      <c r="BV52" s="15">
        <f t="shared" si="57"/>
        <v>0.66506761835146555</v>
      </c>
      <c r="BW52" s="15">
        <f t="shared" si="58"/>
        <v>0.65501223545938891</v>
      </c>
      <c r="BX52" s="15">
        <f t="shared" si="59"/>
        <v>0.64405455690897473</v>
      </c>
      <c r="BY52" s="15">
        <f t="shared" si="60"/>
        <v>0.63234108705540848</v>
      </c>
      <c r="BZ52" s="15">
        <f t="shared" si="61"/>
        <v>0.62000609590958577</v>
      </c>
      <c r="CA52" s="15">
        <f t="shared" si="62"/>
        <v>0.60717179369769581</v>
      </c>
      <c r="CB52" s="15">
        <f t="shared" si="63"/>
        <v>0.59394869082349067</v>
      </c>
      <c r="ET52"/>
      <c r="EU52"/>
      <c r="EV52"/>
      <c r="EW52"/>
      <c r="EX52"/>
      <c r="EY52"/>
      <c r="EZ52"/>
      <c r="FA52"/>
      <c r="FB52"/>
      <c r="FC52"/>
      <c r="FD52"/>
      <c r="FE52"/>
      <c r="FF52"/>
      <c r="FG52"/>
      <c r="FH52"/>
      <c r="FI52"/>
      <c r="FJ52"/>
      <c r="FK52"/>
      <c r="FL52"/>
      <c r="FM52"/>
      <c r="FN52"/>
      <c r="FO52"/>
      <c r="FP52"/>
      <c r="FQ52"/>
      <c r="FR52"/>
      <c r="FS52"/>
      <c r="FT52"/>
      <c r="FU52"/>
      <c r="FV52"/>
      <c r="FW52"/>
    </row>
    <row r="53" spans="1:179">
      <c r="A53" s="21">
        <v>28</v>
      </c>
      <c r="B53" s="13">
        <f t="shared" si="64"/>
        <v>0.5</v>
      </c>
      <c r="C53" s="15">
        <f t="shared" si="68"/>
        <v>7</v>
      </c>
      <c r="D53" s="15">
        <f t="shared" si="69"/>
        <v>16.456814761829381</v>
      </c>
      <c r="E53" s="15">
        <f t="shared" si="70"/>
        <v>4.2851456386652718</v>
      </c>
      <c r="F53" s="15">
        <f t="shared" si="71"/>
        <v>0.62666985642244755</v>
      </c>
      <c r="G53" s="15">
        <f t="shared" si="72"/>
        <v>2.6853716021316432</v>
      </c>
      <c r="H53" s="15"/>
      <c r="I53" s="146"/>
      <c r="J53" s="152"/>
      <c r="K53"/>
      <c r="L53" s="21">
        <v>28</v>
      </c>
      <c r="M53" s="13">
        <f t="shared" si="65"/>
        <v>0.5</v>
      </c>
      <c r="N53" s="15">
        <f t="shared" si="73"/>
        <v>7</v>
      </c>
      <c r="O53" s="15"/>
      <c r="P53" s="13">
        <f t="shared" si="66"/>
        <v>7</v>
      </c>
      <c r="Q53" s="13">
        <f>SQRT(Q$23^2+$N53^2)</f>
        <v>7.2665328733860415</v>
      </c>
      <c r="R53" s="13">
        <f t="shared" si="75"/>
        <v>7.3681748079154579</v>
      </c>
      <c r="S53" s="13">
        <f t="shared" si="81"/>
        <v>7.433034373659253</v>
      </c>
      <c r="T53" s="13">
        <f t="shared" si="81"/>
        <v>7.5026661927610769</v>
      </c>
      <c r="U53" s="13">
        <f t="shared" si="81"/>
        <v>7.576938695805846</v>
      </c>
      <c r="V53" s="13">
        <f t="shared" si="81"/>
        <v>7.6557168181692825</v>
      </c>
      <c r="W53" s="13">
        <f t="shared" si="81"/>
        <v>7.738862965578341</v>
      </c>
      <c r="X53" s="13">
        <f t="shared" si="81"/>
        <v>7.8262379212492643</v>
      </c>
      <c r="Y53" s="13">
        <f t="shared" si="81"/>
        <v>7.9177016867270265</v>
      </c>
      <c r="Z53" s="13">
        <f t="shared" si="81"/>
        <v>8.0131142510262521</v>
      </c>
      <c r="AA53" s="13">
        <f t="shared" si="81"/>
        <v>8.1123362849428275</v>
      </c>
      <c r="AB53" s="13">
        <f t="shared" si="81"/>
        <v>8.2152297594163493</v>
      </c>
      <c r="AC53" s="13">
        <f t="shared" si="81"/>
        <v>8.3216584885466194</v>
      </c>
      <c r="AD53" s="13">
        <f t="shared" si="81"/>
        <v>8.4314885992925355</v>
      </c>
      <c r="AE53" s="13">
        <f t="shared" si="81"/>
        <v>8.5445889310135925</v>
      </c>
      <c r="AF53" s="13">
        <f t="shared" si="81"/>
        <v>8.6608313688698502</v>
      </c>
      <c r="AG53" s="13">
        <f t="shared" si="81"/>
        <v>8.780091115700337</v>
      </c>
      <c r="AH53" s="13">
        <f t="shared" si="82"/>
        <v>8.9022469073824286</v>
      </c>
      <c r="AI53" s="13">
        <f t="shared" si="82"/>
        <v>9.0271811768680053</v>
      </c>
      <c r="AJ53" s="13">
        <f t="shared" si="82"/>
        <v>9.1547801721286568</v>
      </c>
      <c r="AK53" s="13">
        <f t="shared" si="82"/>
        <v>9.2849340331528474</v>
      </c>
      <c r="AL53" s="13">
        <f t="shared" si="80"/>
        <v>9.4175368329515976</v>
      </c>
      <c r="AM53" s="13">
        <f t="shared" si="80"/>
        <v>9.5524865872713995</v>
      </c>
      <c r="AN53" s="13">
        <f t="shared" si="80"/>
        <v>9.689685237405806</v>
      </c>
      <c r="AO53" s="13">
        <f t="shared" si="80"/>
        <v>9.829038610159186</v>
      </c>
      <c r="AP53" s="13">
        <f t="shared" si="80"/>
        <v>9.9704563586628261</v>
      </c>
      <c r="AQ53" s="13">
        <f t="shared" si="80"/>
        <v>10.113851887386922</v>
      </c>
      <c r="AR53" s="13">
        <f t="shared" si="80"/>
        <v>10.259142264341596</v>
      </c>
      <c r="AS53" s="13">
        <f t="shared" si="80"/>
        <v>10.406248123122953</v>
      </c>
      <c r="AT53" s="14">
        <f t="shared" si="80"/>
        <v>10.555093557141026</v>
      </c>
      <c r="AV53" s="43">
        <f t="shared" si="79"/>
        <v>7</v>
      </c>
      <c r="AW53" s="15"/>
      <c r="AX53" s="15">
        <f t="shared" si="67"/>
        <v>-8.716682927959171E-4</v>
      </c>
      <c r="AY53" s="15">
        <f t="shared" si="34"/>
        <v>0.22374791708398786</v>
      </c>
      <c r="AZ53" s="15">
        <f t="shared" si="35"/>
        <v>0.29065281221987127</v>
      </c>
      <c r="BA53" s="15">
        <f t="shared" si="36"/>
        <v>0.32879202589244366</v>
      </c>
      <c r="BB53" s="15">
        <f t="shared" si="37"/>
        <v>0.36613532130245857</v>
      </c>
      <c r="BC53" s="15">
        <f t="shared" si="38"/>
        <v>0.40217511221524738</v>
      </c>
      <c r="BD53" s="15">
        <f t="shared" si="39"/>
        <v>0.43647527882489223</v>
      </c>
      <c r="BE53" s="15">
        <f t="shared" si="40"/>
        <v>0.46867427914212423</v>
      </c>
      <c r="BF53" s="15">
        <f t="shared" si="41"/>
        <v>0.49848533673159839</v>
      </c>
      <c r="BG53" s="15">
        <f t="shared" si="42"/>
        <v>0.52569415900684313</v>
      </c>
      <c r="BH53" s="15">
        <f t="shared" si="43"/>
        <v>0.55015468564569314</v>
      </c>
      <c r="BI53" s="15">
        <f t="shared" si="44"/>
        <v>0.57178337236838617</v>
      </c>
      <c r="BJ53" s="15">
        <f t="shared" si="45"/>
        <v>0.59055248965212581</v>
      </c>
      <c r="BK53" s="15">
        <f t="shared" si="46"/>
        <v>0.60648286786846139</v>
      </c>
      <c r="BL53" s="15">
        <f t="shared" si="47"/>
        <v>0.61963645835110948</v>
      </c>
      <c r="BM53" s="15">
        <f t="shared" si="48"/>
        <v>0.63010901148086451</v>
      </c>
      <c r="BN53" s="15">
        <f t="shared" si="49"/>
        <v>0.63802310401008344</v>
      </c>
      <c r="BO53" s="15">
        <f t="shared" si="50"/>
        <v>0.64352168297577361</v>
      </c>
      <c r="BP53" s="15">
        <f t="shared" si="51"/>
        <v>0.64676223560917978</v>
      </c>
      <c r="BQ53" s="15">
        <f t="shared" si="52"/>
        <v>0.64791164528328471</v>
      </c>
      <c r="BR53" s="15">
        <f t="shared" si="53"/>
        <v>0.64714175334397916</v>
      </c>
      <c r="BS53" s="15">
        <f t="shared" si="54"/>
        <v>0.64462561546367059</v>
      </c>
      <c r="BT53" s="15">
        <f t="shared" si="55"/>
        <v>0.64053441822692692</v>
      </c>
      <c r="BU53" s="15">
        <f t="shared" si="56"/>
        <v>0.63503500598154483</v>
      </c>
      <c r="BV53" s="15">
        <f t="shared" si="57"/>
        <v>0.62828795839636065</v>
      </c>
      <c r="BW53" s="15">
        <f t="shared" si="58"/>
        <v>0.62044615447233453</v>
      </c>
      <c r="BX53" s="15">
        <f t="shared" si="59"/>
        <v>0.61165375783671083</v>
      </c>
      <c r="BY53" s="15">
        <f t="shared" si="60"/>
        <v>0.6020455600119351</v>
      </c>
      <c r="BZ53" s="15">
        <f t="shared" si="61"/>
        <v>0.59174662213739571</v>
      </c>
      <c r="CA53" s="15">
        <f t="shared" si="62"/>
        <v>0.58087216063121416</v>
      </c>
      <c r="CB53" s="15">
        <f t="shared" si="63"/>
        <v>0.5695276279556748</v>
      </c>
      <c r="ET53"/>
      <c r="EU53"/>
      <c r="EV53"/>
      <c r="EW53"/>
      <c r="EX53"/>
      <c r="EY53"/>
      <c r="EZ53"/>
      <c r="FA53"/>
      <c r="FB53"/>
      <c r="FC53"/>
      <c r="FD53"/>
      <c r="FE53"/>
      <c r="FF53"/>
      <c r="FG53"/>
      <c r="FH53"/>
      <c r="FI53"/>
      <c r="FJ53"/>
      <c r="FK53"/>
      <c r="FL53"/>
      <c r="FM53"/>
      <c r="FN53"/>
      <c r="FO53"/>
      <c r="FP53"/>
      <c r="FQ53"/>
      <c r="FR53"/>
      <c r="FS53"/>
      <c r="FT53"/>
      <c r="FU53"/>
      <c r="FV53"/>
      <c r="FW53"/>
    </row>
    <row r="54" spans="1:179">
      <c r="A54" s="21">
        <v>29</v>
      </c>
      <c r="B54" s="13">
        <f t="shared" si="64"/>
        <v>0.25</v>
      </c>
      <c r="C54" s="15">
        <f t="shared" si="68"/>
        <v>7.25</v>
      </c>
      <c r="D54" s="15">
        <f t="shared" si="69"/>
        <v>15.205387195176286</v>
      </c>
      <c r="E54" s="15">
        <f t="shared" si="70"/>
        <v>3.9577752446257084</v>
      </c>
      <c r="F54" s="15">
        <f t="shared" si="71"/>
        <v>0.37665480577553911</v>
      </c>
      <c r="G54" s="15">
        <f t="shared" si="72"/>
        <v>1.4907150660677331</v>
      </c>
      <c r="H54" s="15"/>
      <c r="I54" s="146"/>
      <c r="J54" s="152"/>
      <c r="K54"/>
      <c r="L54" s="21">
        <v>29</v>
      </c>
      <c r="M54" s="13">
        <f t="shared" si="65"/>
        <v>0.25</v>
      </c>
      <c r="N54" s="15">
        <f t="shared" si="73"/>
        <v>7.25</v>
      </c>
      <c r="O54" s="15"/>
      <c r="P54" s="13">
        <f t="shared" si="66"/>
        <v>7.25</v>
      </c>
      <c r="Q54" s="13">
        <f>SQRT(Q$23^2+$N54^2)</f>
        <v>7.5076627521486339</v>
      </c>
      <c r="R54" s="13">
        <f t="shared" si="75"/>
        <v>7.6060830918416871</v>
      </c>
      <c r="S54" s="13">
        <f t="shared" si="81"/>
        <v>7.6689308250889834</v>
      </c>
      <c r="T54" s="13">
        <f t="shared" si="81"/>
        <v>7.7364397496522903</v>
      </c>
      <c r="U54" s="13">
        <f t="shared" si="81"/>
        <v>7.8084889703450306</v>
      </c>
      <c r="V54" s="13">
        <f t="shared" si="81"/>
        <v>7.8849540264988232</v>
      </c>
      <c r="W54" s="13">
        <f t="shared" si="81"/>
        <v>7.9657077526105615</v>
      </c>
      <c r="X54" s="13">
        <f t="shared" si="81"/>
        <v>8.0506210940523086</v>
      </c>
      <c r="Y54" s="13">
        <f t="shared" si="81"/>
        <v>8.1395638703802788</v>
      </c>
      <c r="Z54" s="13">
        <f t="shared" si="81"/>
        <v>8.2324054807814235</v>
      </c>
      <c r="AA54" s="13">
        <f t="shared" si="81"/>
        <v>8.3290155480704922</v>
      </c>
      <c r="AB54" s="13">
        <f t="shared" si="81"/>
        <v>8.4292644993498698</v>
      </c>
      <c r="AC54" s="13">
        <f t="shared" si="81"/>
        <v>8.533024082938006</v>
      </c>
      <c r="AD54" s="13">
        <f t="shared" si="81"/>
        <v>8.6401678224441909</v>
      </c>
      <c r="AE54" s="13">
        <f t="shared" si="81"/>
        <v>8.7505714099137553</v>
      </c>
      <c r="AF54" s="13">
        <f t="shared" si="81"/>
        <v>8.864113040795452</v>
      </c>
      <c r="AG54" s="13">
        <f t="shared" si="81"/>
        <v>8.9806736941055814</v>
      </c>
      <c r="AH54" s="13">
        <f t="shared" si="82"/>
        <v>9.1001373616006482</v>
      </c>
      <c r="AI54" s="13">
        <f t="shared" si="82"/>
        <v>9.2223912300444084</v>
      </c>
      <c r="AJ54" s="13">
        <f t="shared" si="82"/>
        <v>9.3473258207896013</v>
      </c>
      <c r="AK54" s="13">
        <f t="shared" si="82"/>
        <v>9.4748350909131922</v>
      </c>
      <c r="AL54" s="13">
        <f t="shared" si="80"/>
        <v>9.6048165000691181</v>
      </c>
      <c r="AM54" s="13">
        <f t="shared" si="80"/>
        <v>9.7371710470752237</v>
      </c>
      <c r="AN54" s="13">
        <f t="shared" si="80"/>
        <v>9.8718032800496989</v>
      </c>
      <c r="AO54" s="13">
        <f t="shared" si="80"/>
        <v>10.008621283673392</v>
      </c>
      <c r="AP54" s="13">
        <f t="shared" si="80"/>
        <v>10.147536646891204</v>
      </c>
      <c r="AQ54" s="13">
        <f t="shared" si="80"/>
        <v>10.28846441409018</v>
      </c>
      <c r="AR54" s="13">
        <f t="shared" si="80"/>
        <v>10.431323022512533</v>
      </c>
      <c r="AS54" s="13">
        <f t="shared" si="80"/>
        <v>10.576034228386366</v>
      </c>
      <c r="AT54" s="14">
        <f t="shared" si="80"/>
        <v>10.722523023990203</v>
      </c>
      <c r="AV54" s="43">
        <f t="shared" si="79"/>
        <v>7.25</v>
      </c>
      <c r="AW54" s="15"/>
      <c r="AX54" s="15">
        <f t="shared" si="67"/>
        <v>-8.125897045802603E-4</v>
      </c>
      <c r="AY54" s="15">
        <f t="shared" si="34"/>
        <v>0.19679302320647585</v>
      </c>
      <c r="AZ54" s="15">
        <f t="shared" si="35"/>
        <v>0.25676508473292042</v>
      </c>
      <c r="BA54" s="15">
        <f t="shared" si="36"/>
        <v>0.2912436110405982</v>
      </c>
      <c r="BB54" s="15">
        <f t="shared" si="37"/>
        <v>0.32523815685796215</v>
      </c>
      <c r="BC54" s="15">
        <f t="shared" si="38"/>
        <v>0.35829745186097189</v>
      </c>
      <c r="BD54" s="15">
        <f t="shared" si="39"/>
        <v>0.39002608737198963</v>
      </c>
      <c r="BE54" s="15">
        <f t="shared" si="40"/>
        <v>0.42008815816982525</v>
      </c>
      <c r="BF54" s="15">
        <f t="shared" si="41"/>
        <v>0.448208546867291</v>
      </c>
      <c r="BG54" s="15">
        <f t="shared" si="42"/>
        <v>0.47417215267312013</v>
      </c>
      <c r="BH54" s="15">
        <f t="shared" si="43"/>
        <v>0.49782141512162975</v>
      </c>
      <c r="BI54" s="15">
        <f t="shared" si="44"/>
        <v>0.51905250246794077</v>
      </c>
      <c r="BJ54" s="15">
        <f t="shared" si="45"/>
        <v>0.53781052880913305</v>
      </c>
      <c r="BK54" s="15">
        <f t="shared" si="46"/>
        <v>0.55408413933827927</v>
      </c>
      <c r="BL54" s="15">
        <f t="shared" si="47"/>
        <v>0.56789976531494635</v>
      </c>
      <c r="BM54" s="15">
        <f t="shared" si="48"/>
        <v>0.57931580475698718</v>
      </c>
      <c r="BN54" s="15">
        <f t="shared" si="49"/>
        <v>0.58841693615641899</v>
      </c>
      <c r="BO54" s="15">
        <f t="shared" si="50"/>
        <v>0.59530872437103899</v>
      </c>
      <c r="BP54" s="15">
        <f t="shared" si="51"/>
        <v>0.60011263292403472</v>
      </c>
      <c r="BQ54" s="15">
        <f t="shared" si="52"/>
        <v>0.60296151700962708</v>
      </c>
      <c r="BR54" s="15">
        <f t="shared" si="53"/>
        <v>0.60399563750885821</v>
      </c>
      <c r="BS54" s="15">
        <f t="shared" si="54"/>
        <v>0.60335920858139147</v>
      </c>
      <c r="BT54" s="15">
        <f t="shared" si="55"/>
        <v>0.60119746975625998</v>
      </c>
      <c r="BU54" s="15">
        <f t="shared" si="56"/>
        <v>0.59765425741258804</v>
      </c>
      <c r="BV54" s="15">
        <f t="shared" si="57"/>
        <v>0.5928700394421742</v>
      </c>
      <c r="BW54" s="15">
        <f t="shared" si="58"/>
        <v>0.58698036995069536</v>
      </c>
      <c r="BX54" s="15">
        <f t="shared" si="59"/>
        <v>0.58011471730181952</v>
      </c>
      <c r="BY54" s="15">
        <f t="shared" si="60"/>
        <v>0.57239561789747961</v>
      </c>
      <c r="BZ54" s="15">
        <f t="shared" si="61"/>
        <v>0.56393810915096587</v>
      </c>
      <c r="CA54" s="15">
        <f t="shared" si="62"/>
        <v>0.55484939757109975</v>
      </c>
      <c r="CB54" s="15">
        <f t="shared" si="63"/>
        <v>0.54522872125634636</v>
      </c>
      <c r="ET54"/>
      <c r="EU54"/>
      <c r="EV54"/>
      <c r="EW54"/>
      <c r="EX54"/>
      <c r="EY54"/>
      <c r="EZ54"/>
      <c r="FA54"/>
      <c r="FB54"/>
      <c r="FC54"/>
      <c r="FD54"/>
      <c r="FE54"/>
      <c r="FF54"/>
      <c r="FG54"/>
      <c r="FH54"/>
      <c r="FI54"/>
      <c r="FJ54"/>
      <c r="FK54"/>
      <c r="FL54"/>
      <c r="FM54"/>
      <c r="FN54"/>
      <c r="FO54"/>
      <c r="FP54"/>
      <c r="FQ54"/>
      <c r="FR54"/>
      <c r="FS54"/>
      <c r="FT54"/>
      <c r="FU54"/>
      <c r="FV54"/>
      <c r="FW54"/>
    </row>
    <row r="55" spans="1:179">
      <c r="A55" s="22">
        <v>30</v>
      </c>
      <c r="B55" s="17">
        <f t="shared" si="64"/>
        <v>0</v>
      </c>
      <c r="C55" s="23">
        <f t="shared" si="68"/>
        <v>7.5</v>
      </c>
      <c r="D55" s="23">
        <f t="shared" si="69"/>
        <v>14.059743578009632</v>
      </c>
      <c r="E55" s="23">
        <f t="shared" si="70"/>
        <v>3.6581413466482395</v>
      </c>
      <c r="F55" s="15">
        <f t="shared" si="71"/>
        <v>0.12663929654420925</v>
      </c>
      <c r="G55" s="23">
        <f t="shared" si="72"/>
        <v>0.46326444679881934</v>
      </c>
      <c r="H55" s="23"/>
      <c r="I55" s="121"/>
      <c r="J55" s="122"/>
      <c r="K55"/>
      <c r="L55" s="22">
        <v>30</v>
      </c>
      <c r="M55" s="17">
        <f t="shared" si="65"/>
        <v>0</v>
      </c>
      <c r="N55" s="23">
        <f t="shared" si="73"/>
        <v>7.5</v>
      </c>
      <c r="O55" s="23"/>
      <c r="P55" s="23">
        <f t="shared" si="66"/>
        <v>7.5</v>
      </c>
      <c r="Q55" s="17">
        <f>SQRT(Q$23^2+$N55^2)</f>
        <v>7.7493548118536939</v>
      </c>
      <c r="R55" s="17">
        <f t="shared" si="75"/>
        <v>7.8447434629820751</v>
      </c>
      <c r="S55" s="17">
        <f t="shared" si="81"/>
        <v>7.9056941504209481</v>
      </c>
      <c r="T55" s="17">
        <f t="shared" si="81"/>
        <v>7.9711981533518532</v>
      </c>
      <c r="U55" s="17">
        <f t="shared" si="81"/>
        <v>8.0411441971898494</v>
      </c>
      <c r="V55" s="17">
        <f t="shared" si="81"/>
        <v>8.1154174261093921</v>
      </c>
      <c r="W55" s="17">
        <f t="shared" si="81"/>
        <v>8.1939001702485985</v>
      </c>
      <c r="X55" s="17">
        <f t="shared" si="81"/>
        <v>8.2764726786234242</v>
      </c>
      <c r="Y55" s="17">
        <f t="shared" si="81"/>
        <v>8.3630138108220287</v>
      </c>
      <c r="Z55" s="17">
        <f t="shared" si="81"/>
        <v>8.4534016821632232</v>
      </c>
      <c r="AA55" s="17">
        <f t="shared" si="81"/>
        <v>8.5475142585432398</v>
      </c>
      <c r="AB55" s="17">
        <f t="shared" si="81"/>
        <v>8.6452298986203946</v>
      </c>
      <c r="AC55" s="17">
        <f t="shared" si="81"/>
        <v>8.7464278422679502</v>
      </c>
      <c r="AD55" s="17">
        <f t="shared" si="81"/>
        <v>8.8509886453435254</v>
      </c>
      <c r="AE55" s="17">
        <f t="shared" si="81"/>
        <v>8.9587945617700164</v>
      </c>
      <c r="AF55" s="17">
        <f t="shared" si="81"/>
        <v>9.0697298746985844</v>
      </c>
      <c r="AG55" s="17">
        <f t="shared" si="81"/>
        <v>9.1836811791350854</v>
      </c>
      <c r="AH55" s="17">
        <f t="shared" si="82"/>
        <v>9.3005376188691375</v>
      </c>
      <c r="AI55" s="17">
        <f t="shared" si="82"/>
        <v>9.4201910808645497</v>
      </c>
      <c r="AJ55" s="17">
        <f t="shared" si="82"/>
        <v>9.5425363504678362</v>
      </c>
      <c r="AK55" s="17">
        <f t="shared" si="82"/>
        <v>9.6674712308855622</v>
      </c>
      <c r="AL55" s="17">
        <f t="shared" si="80"/>
        <v>9.7948966303887044</v>
      </c>
      <c r="AM55" s="17">
        <f t="shared" si="80"/>
        <v>9.9247166206396038</v>
      </c>
      <c r="AN55" s="17">
        <f t="shared" si="80"/>
        <v>10.056838469419702</v>
      </c>
      <c r="AO55" s="17">
        <f t="shared" si="80"/>
        <v>10.191172650877817</v>
      </c>
      <c r="AP55" s="17">
        <f t="shared" si="80"/>
        <v>10.327632836231157</v>
      </c>
      <c r="AQ55" s="17">
        <f t="shared" si="80"/>
        <v>10.466135867644754</v>
      </c>
      <c r="AR55" s="17">
        <f t="shared" si="80"/>
        <v>10.606601717798213</v>
      </c>
      <c r="AS55" s="17">
        <f t="shared" si="80"/>
        <v>10.748953437428224</v>
      </c>
      <c r="AT55" s="18">
        <f t="shared" si="80"/>
        <v>10.893117092916976</v>
      </c>
      <c r="AV55" s="44">
        <f t="shared" si="79"/>
        <v>7.5</v>
      </c>
      <c r="AW55" s="23"/>
      <c r="AX55" s="15">
        <f t="shared" si="67"/>
        <v>-7.593199350577767E-4</v>
      </c>
      <c r="AY55" s="15">
        <f t="shared" si="34"/>
        <v>0.17370953509162415</v>
      </c>
      <c r="AZ55" s="15">
        <f t="shared" si="35"/>
        <v>0.22755971726422783</v>
      </c>
      <c r="BA55" s="15">
        <f t="shared" si="36"/>
        <v>0.25875576993480165</v>
      </c>
      <c r="BB55" s="15">
        <f t="shared" si="37"/>
        <v>0.28970636602464911</v>
      </c>
      <c r="BC55" s="15">
        <f t="shared" si="38"/>
        <v>0.32001161205705636</v>
      </c>
      <c r="BD55" s="15">
        <f t="shared" si="39"/>
        <v>0.34931520246726877</v>
      </c>
      <c r="BE55" s="15">
        <f t="shared" si="40"/>
        <v>0.37730822227199429</v>
      </c>
      <c r="BF55" s="15">
        <f t="shared" si="41"/>
        <v>0.40373106057092223</v>
      </c>
      <c r="BG55" s="15">
        <f t="shared" si="42"/>
        <v>0.42837363083634117</v>
      </c>
      <c r="BH55" s="15">
        <f t="shared" si="43"/>
        <v>0.45107414057119294</v>
      </c>
      <c r="BI55" s="15">
        <f t="shared" si="44"/>
        <v>0.47171667771898151</v>
      </c>
      <c r="BJ55" s="15">
        <f t="shared" si="45"/>
        <v>0.49022788692331032</v>
      </c>
      <c r="BK55" s="15">
        <f t="shared" si="46"/>
        <v>0.50657299893511076</v>
      </c>
      <c r="BL55" s="15">
        <f t="shared" si="47"/>
        <v>0.52075145506149767</v>
      </c>
      <c r="BM55" s="15">
        <f t="shared" si="48"/>
        <v>0.53279233937635695</v>
      </c>
      <c r="BN55" s="15">
        <f t="shared" si="49"/>
        <v>0.54274979793361489</v>
      </c>
      <c r="BO55" s="15">
        <f t="shared" si="50"/>
        <v>0.55069858935261684</v>
      </c>
      <c r="BP55" s="15">
        <f t="shared" si="51"/>
        <v>0.55672987716104316</v>
      </c>
      <c r="BQ55" s="15">
        <f t="shared" si="52"/>
        <v>0.56094734282824266</v>
      </c>
      <c r="BR55" s="15">
        <f t="shared" si="53"/>
        <v>0.56346367056087676</v>
      </c>
      <c r="BS55" s="15">
        <f t="shared" si="54"/>
        <v>0.56439743122539909</v>
      </c>
      <c r="BT55" s="15">
        <f t="shared" si="55"/>
        <v>0.56387037337254597</v>
      </c>
      <c r="BU55" s="15">
        <f t="shared" si="56"/>
        <v>0.56200511413659171</v>
      </c>
      <c r="BV55" s="15">
        <f t="shared" si="57"/>
        <v>0.55892321143342716</v>
      </c>
      <c r="BW55" s="15">
        <f t="shared" si="58"/>
        <v>0.55474359093158865</v>
      </c>
      <c r="BX55" s="15">
        <f t="shared" si="59"/>
        <v>0.54958129620657481</v>
      </c>
      <c r="BY55" s="15">
        <f t="shared" si="60"/>
        <v>0.54354652778932155</v>
      </c>
      <c r="BZ55" s="15">
        <f t="shared" si="61"/>
        <v>0.53674393598729653</v>
      </c>
      <c r="CA55" s="15">
        <f t="shared" si="62"/>
        <v>0.52927213294033615</v>
      </c>
      <c r="CB55" s="15">
        <f t="shared" si="63"/>
        <v>0.52122339097987846</v>
      </c>
      <c r="ET55"/>
      <c r="EU55"/>
      <c r="EV55"/>
      <c r="EW55"/>
      <c r="EX55"/>
      <c r="EY55"/>
      <c r="EZ55"/>
      <c r="FA55"/>
      <c r="FB55"/>
      <c r="FC55"/>
      <c r="FD55"/>
      <c r="FE55"/>
      <c r="FF55"/>
      <c r="FG55"/>
      <c r="FH55"/>
      <c r="FI55"/>
      <c r="FJ55"/>
      <c r="FK55"/>
      <c r="FL55"/>
      <c r="FM55"/>
      <c r="FN55"/>
      <c r="FO55"/>
      <c r="FP55"/>
      <c r="FQ55"/>
      <c r="FR55"/>
      <c r="FS55"/>
      <c r="FT55"/>
      <c r="FU55"/>
      <c r="FV55"/>
      <c r="FW55"/>
    </row>
    <row r="56" spans="1:179">
      <c r="A56" s="2"/>
      <c r="B56" s="2"/>
      <c r="C56" s="2"/>
      <c r="D56" s="2"/>
      <c r="E56" s="2"/>
      <c r="F56" s="2"/>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row>
    <row r="57" spans="1:179">
      <c r="G57" s="10"/>
      <c r="H57" s="10"/>
      <c r="I57" s="10"/>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row>
    <row r="58" spans="1:179">
      <c r="G58" s="10"/>
      <c r="H58" s="10"/>
      <c r="I58" s="10"/>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row>
    <row r="59" spans="1:179">
      <c r="G59" s="10"/>
      <c r="H59" s="10"/>
      <c r="I59" s="10"/>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row>
    <row r="60" spans="1:179">
      <c r="G60" s="10"/>
      <c r="H60" s="10"/>
      <c r="I60" s="1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row>
    <row r="61" spans="1:179">
      <c r="G61" s="10"/>
      <c r="H61" s="10"/>
      <c r="I61" s="10"/>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row>
    <row r="62" spans="1:179">
      <c r="G62" s="10"/>
      <c r="H62" s="10"/>
      <c r="I62" s="10"/>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row>
    <row r="63" spans="1:179">
      <c r="G63" s="10"/>
      <c r="H63" s="10"/>
      <c r="I63" s="10"/>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row>
    <row r="64" spans="1:179">
      <c r="G64" s="10"/>
      <c r="H64" s="10"/>
      <c r="I64" s="10"/>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row>
    <row r="65" spans="7:179">
      <c r="G65" s="10"/>
      <c r="H65" s="10"/>
      <c r="I65" s="10"/>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row>
    <row r="66" spans="7:179">
      <c r="G66" s="10"/>
      <c r="H66" s="10"/>
      <c r="I66" s="10"/>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row>
    <row r="67" spans="7:179">
      <c r="G67" s="10"/>
      <c r="H67" s="10"/>
      <c r="I67" s="10"/>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row>
    <row r="68" spans="7:179" ht="11.25" customHeight="1">
      <c r="G68" s="10"/>
      <c r="H68" s="10"/>
      <c r="I68" s="10"/>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row>
    <row r="69" spans="7:179">
      <c r="G69" s="10"/>
      <c r="H69" s="10"/>
      <c r="I69" s="10"/>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row>
    <row r="70" spans="7:179">
      <c r="G70" s="10"/>
      <c r="H70" s="10"/>
      <c r="I70" s="1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row>
    <row r="71" spans="7:179">
      <c r="G71" s="10"/>
      <c r="H71" s="10"/>
      <c r="I71" s="10"/>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row>
    <row r="72" spans="7:179">
      <c r="G72" s="10"/>
      <c r="H72" s="10"/>
      <c r="I72" s="10"/>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row>
    <row r="73" spans="7:179">
      <c r="G73" s="10"/>
      <c r="H73" s="10"/>
      <c r="I73" s="10"/>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row>
    <row r="74" spans="7:179">
      <c r="G74" s="10"/>
      <c r="H74" s="10"/>
      <c r="I74" s="10"/>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row>
    <row r="75" spans="7:179">
      <c r="G75" s="10"/>
      <c r="H75" s="10"/>
      <c r="I75" s="10"/>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row>
    <row r="76" spans="7:179">
      <c r="G76" s="10"/>
      <c r="H76" s="10"/>
      <c r="I76" s="10"/>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row>
    <row r="77" spans="7:179">
      <c r="G77" s="10"/>
      <c r="H77" s="10"/>
      <c r="I77" s="10"/>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row>
    <row r="78" spans="7:179">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row>
    <row r="79" spans="7:1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row>
    <row r="80" spans="7:179">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row>
    <row r="81" spans="1:182">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row>
    <row r="82" spans="1:1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row>
    <row r="83" spans="1:182">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row>
    <row r="84" spans="1:182">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row>
    <row r="85" spans="1:182">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row>
    <row r="86" spans="1:182">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row>
    <row r="87" spans="1:182" s="2" customFormat="1">
      <c r="A87" s="1"/>
      <c r="B87" s="1"/>
      <c r="C87" s="1"/>
      <c r="D87" s="1"/>
      <c r="E87" s="10"/>
      <c r="F87" s="10"/>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row>
    <row r="88" spans="1:182" s="2" customFormat="1">
      <c r="A88" s="1"/>
      <c r="B88" s="1"/>
      <c r="C88" s="1"/>
      <c r="D88" s="1"/>
      <c r="E88" s="10"/>
      <c r="F88" s="10"/>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row>
    <row r="89" spans="1:182" s="2" customFormat="1">
      <c r="A89" s="1"/>
      <c r="B89" s="1"/>
      <c r="C89" s="1"/>
      <c r="D89" s="1"/>
      <c r="E89" s="10"/>
      <c r="F89" s="10"/>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row>
    <row r="90" spans="1:182" s="2" customFormat="1">
      <c r="A90" s="1"/>
      <c r="B90" s="1"/>
      <c r="C90" s="1"/>
      <c r="D90" s="1"/>
      <c r="E90" s="10"/>
      <c r="F90" s="1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row>
    <row r="91" spans="1:182" s="2" customFormat="1">
      <c r="A91" s="1"/>
      <c r="B91" s="1"/>
      <c r="C91" s="1"/>
      <c r="D91" s="1"/>
      <c r="E91" s="10"/>
      <c r="F91" s="10"/>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row>
    <row r="92" spans="1:182" s="2" customFormat="1">
      <c r="A92" s="1"/>
      <c r="B92" s="1"/>
      <c r="C92" s="1"/>
      <c r="D92" s="1"/>
      <c r="E92" s="10"/>
      <c r="F92" s="10"/>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row>
    <row r="93" spans="1:182" s="2" customFormat="1">
      <c r="A93" s="1"/>
      <c r="B93" s="1"/>
      <c r="C93" s="1"/>
      <c r="D93" s="1"/>
      <c r="E93" s="10"/>
      <c r="F93" s="10"/>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row>
    <row r="94" spans="1:182" s="2" customFormat="1">
      <c r="A94" s="1"/>
      <c r="B94" s="1"/>
      <c r="C94" s="1"/>
      <c r="D94" s="1"/>
      <c r="E94" s="10"/>
      <c r="F94" s="10"/>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row>
    <row r="95" spans="1:182" s="2" customFormat="1">
      <c r="A95" s="1"/>
      <c r="B95" s="1"/>
      <c r="C95" s="1"/>
      <c r="D95" s="1"/>
      <c r="E95" s="10"/>
      <c r="F95" s="10"/>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row>
    <row r="96" spans="1:182" s="2" customFormat="1">
      <c r="A96" s="1"/>
      <c r="B96" s="1"/>
      <c r="C96" s="1"/>
      <c r="D96" s="1"/>
      <c r="E96" s="10"/>
      <c r="F96" s="10"/>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row>
    <row r="97" spans="1:182" s="2" customFormat="1">
      <c r="A97" s="1"/>
      <c r="B97" s="1"/>
      <c r="C97" s="1"/>
      <c r="D97" s="1"/>
      <c r="E97" s="10"/>
      <c r="F97" s="10"/>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row>
    <row r="98" spans="1:182" s="2" customFormat="1">
      <c r="A98" s="1"/>
      <c r="B98" s="1"/>
      <c r="C98" s="1"/>
      <c r="D98" s="1"/>
      <c r="E98" s="10"/>
      <c r="F98" s="10"/>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row>
    <row r="99" spans="1:182" s="2" customFormat="1">
      <c r="A99" s="1"/>
      <c r="B99" s="1"/>
      <c r="C99" s="1"/>
      <c r="D99" s="1"/>
      <c r="E99" s="10"/>
      <c r="F99" s="10"/>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row>
    <row r="100" spans="1:182" s="2" customFormat="1">
      <c r="A100" s="1"/>
      <c r="B100" s="1"/>
      <c r="C100" s="1"/>
      <c r="D100" s="1"/>
      <c r="E100" s="10"/>
      <c r="F100" s="1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row>
    <row r="101" spans="1:182" s="2" customFormat="1">
      <c r="A101" s="1"/>
      <c r="B101" s="1"/>
      <c r="C101" s="1"/>
      <c r="D101" s="1"/>
      <c r="E101" s="10"/>
      <c r="F101" s="10"/>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row>
    <row r="102" spans="1:182" s="2" customFormat="1">
      <c r="A102" s="1"/>
      <c r="B102" s="1"/>
      <c r="C102" s="1"/>
      <c r="D102" s="1"/>
      <c r="E102" s="10"/>
      <c r="F102" s="10"/>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row>
    <row r="103" spans="1:182" s="2" customFormat="1">
      <c r="A103" s="1"/>
      <c r="B103" s="1"/>
      <c r="C103" s="1"/>
      <c r="D103" s="1"/>
      <c r="E103" s="10"/>
      <c r="F103" s="10"/>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row>
    <row r="104" spans="1:182" s="2" customFormat="1">
      <c r="A104" s="1"/>
      <c r="B104" s="1"/>
      <c r="C104" s="1"/>
      <c r="D104" s="1"/>
      <c r="E104" s="10"/>
      <c r="F104" s="10"/>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row>
    <row r="105" spans="1:182" s="2" customFormat="1">
      <c r="A105" s="1"/>
      <c r="B105" s="1"/>
      <c r="C105" s="1"/>
      <c r="D105" s="1"/>
      <c r="E105" s="10"/>
      <c r="F105" s="10"/>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row>
    <row r="106" spans="1:182" s="2" customFormat="1">
      <c r="A106" s="1"/>
      <c r="B106" s="1"/>
      <c r="C106" s="1"/>
      <c r="D106" s="1"/>
      <c r="E106" s="10"/>
      <c r="F106" s="10"/>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row>
    <row r="107" spans="1:182" s="2" customFormat="1">
      <c r="A107" s="1"/>
      <c r="B107" s="1"/>
      <c r="C107" s="1"/>
      <c r="D107" s="1"/>
      <c r="E107" s="10"/>
      <c r="F107" s="10"/>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row>
    <row r="108" spans="1:182" s="2" customFormat="1">
      <c r="A108" s="1"/>
      <c r="B108" s="1"/>
      <c r="C108" s="1"/>
      <c r="D108" s="1"/>
      <c r="E108" s="10"/>
      <c r="F108" s="10"/>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row>
    <row r="109" spans="1:182" s="2" customFormat="1">
      <c r="A109" s="1"/>
      <c r="B109" s="1"/>
      <c r="C109" s="1"/>
      <c r="D109" s="1"/>
      <c r="E109" s="10"/>
      <c r="F109" s="10"/>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row>
    <row r="110" spans="1:182" s="2" customFormat="1">
      <c r="A110" s="1"/>
      <c r="B110" s="1"/>
      <c r="C110" s="1"/>
      <c r="D110" s="1"/>
      <c r="E110" s="10"/>
      <c r="F110" s="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row>
    <row r="111" spans="1:182" s="2" customFormat="1">
      <c r="A111" s="1"/>
      <c r="B111" s="1"/>
      <c r="C111" s="1"/>
      <c r="D111" s="1"/>
      <c r="E111" s="10"/>
      <c r="F111" s="10"/>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row>
    <row r="112" spans="1:182" s="2" customFormat="1">
      <c r="A112" s="1"/>
      <c r="B112" s="1"/>
      <c r="C112" s="1"/>
      <c r="D112" s="1"/>
      <c r="E112" s="10"/>
      <c r="F112" s="10"/>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row>
    <row r="113" spans="1:182" s="2" customFormat="1">
      <c r="A113" s="1"/>
      <c r="B113" s="1"/>
      <c r="C113" s="1"/>
      <c r="D113" s="1"/>
      <c r="E113" s="10"/>
      <c r="F113" s="10"/>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row>
    <row r="114" spans="1:182" s="2" customFormat="1">
      <c r="A114" s="1"/>
      <c r="B114" s="1"/>
      <c r="C114" s="1"/>
      <c r="D114" s="1"/>
      <c r="E114" s="10"/>
      <c r="F114" s="10"/>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row>
    <row r="115" spans="1:182" s="2" customFormat="1">
      <c r="A115" s="1"/>
      <c r="B115" s="1"/>
      <c r="C115" s="1"/>
      <c r="D115" s="1"/>
      <c r="E115" s="10"/>
      <c r="F115" s="10"/>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row>
    <row r="116" spans="1:182" s="2" customFormat="1">
      <c r="A116" s="1"/>
      <c r="B116" s="1"/>
      <c r="C116" s="1"/>
      <c r="D116" s="1"/>
      <c r="E116" s="10"/>
      <c r="F116" s="10"/>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row>
    <row r="117" spans="1:182" s="2" customFormat="1">
      <c r="A117" s="1"/>
      <c r="B117" s="1"/>
      <c r="C117" s="1"/>
      <c r="D117" s="1"/>
      <c r="E117" s="10"/>
      <c r="F117" s="10"/>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row>
    <row r="118" spans="1:182" s="2" customFormat="1">
      <c r="A118" s="1"/>
      <c r="B118" s="1"/>
      <c r="C118" s="1"/>
      <c r="D118" s="1"/>
      <c r="E118" s="10"/>
      <c r="F118" s="10"/>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row>
    <row r="119" spans="1:182" s="2" customFormat="1">
      <c r="A119" s="1"/>
      <c r="B119" s="1"/>
      <c r="C119" s="1"/>
      <c r="D119" s="1"/>
      <c r="E119" s="10"/>
      <c r="F119" s="10"/>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row>
    <row r="120" spans="1:182" s="2" customFormat="1">
      <c r="A120" s="1"/>
      <c r="B120" s="1"/>
      <c r="C120" s="1"/>
      <c r="D120" s="1"/>
      <c r="E120" s="10"/>
      <c r="F120" s="1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row>
    <row r="121" spans="1:182" s="2" customFormat="1">
      <c r="A121" s="1"/>
      <c r="B121" s="1"/>
      <c r="C121" s="1"/>
      <c r="D121" s="1"/>
      <c r="E121" s="10"/>
      <c r="F121" s="10"/>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row>
    <row r="122" spans="1:182" s="2" customFormat="1">
      <c r="A122" s="1"/>
      <c r="B122" s="1"/>
      <c r="C122" s="1"/>
      <c r="D122" s="1"/>
      <c r="E122" s="10"/>
      <c r="F122" s="10"/>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row>
    <row r="123" spans="1:182" s="2" customFormat="1">
      <c r="A123" s="1"/>
      <c r="B123" s="1"/>
      <c r="C123" s="1"/>
      <c r="D123" s="1"/>
      <c r="E123" s="10"/>
      <c r="F123" s="10"/>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row>
    <row r="124" spans="1:182" s="2" customFormat="1">
      <c r="A124" s="1"/>
      <c r="B124" s="1"/>
      <c r="C124" s="1"/>
      <c r="D124" s="1"/>
      <c r="E124" s="10"/>
      <c r="F124" s="10"/>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row>
    <row r="125" spans="1:182" s="2" customFormat="1">
      <c r="A125" s="1"/>
      <c r="B125" s="1"/>
      <c r="C125" s="1"/>
      <c r="D125" s="1"/>
      <c r="E125" s="10"/>
      <c r="F125" s="10"/>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row>
    <row r="126" spans="1:182" s="2" customFormat="1">
      <c r="A126" s="1"/>
      <c r="B126" s="1"/>
      <c r="C126" s="1"/>
      <c r="D126" s="1"/>
      <c r="E126" s="10"/>
      <c r="F126" s="10"/>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row>
    <row r="127" spans="1:182" s="2" customFormat="1">
      <c r="A127" s="1"/>
      <c r="B127" s="1"/>
      <c r="C127" s="1"/>
      <c r="D127" s="1"/>
      <c r="E127" s="10"/>
      <c r="F127" s="10"/>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row>
    <row r="128" spans="1:182" s="2" customFormat="1">
      <c r="A128" s="1"/>
      <c r="B128" s="1"/>
      <c r="C128" s="1"/>
      <c r="D128" s="1"/>
      <c r="E128" s="10"/>
      <c r="F128" s="10"/>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row>
    <row r="129" spans="1:182" s="2" customFormat="1">
      <c r="A129" s="1"/>
      <c r="B129" s="1"/>
      <c r="C129" s="1"/>
      <c r="D129" s="1"/>
      <c r="E129" s="10"/>
      <c r="F129" s="10"/>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row>
    <row r="130" spans="1:182" s="2" customFormat="1">
      <c r="A130" s="1"/>
      <c r="B130" s="1"/>
      <c r="C130" s="1"/>
      <c r="D130" s="1"/>
      <c r="E130" s="10"/>
      <c r="F130" s="1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row>
    <row r="131" spans="1:182" s="2" customFormat="1">
      <c r="A131" s="1"/>
      <c r="B131" s="1"/>
      <c r="C131" s="1"/>
      <c r="D131" s="1"/>
      <c r="E131" s="10"/>
      <c r="F131" s="10"/>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row>
    <row r="132" spans="1:182" s="2" customFormat="1">
      <c r="A132" s="1"/>
      <c r="B132" s="1"/>
      <c r="C132" s="1"/>
      <c r="D132" s="1"/>
      <c r="E132" s="10"/>
      <c r="F132" s="10"/>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row>
    <row r="133" spans="1:182" s="2" customFormat="1">
      <c r="A133" s="1"/>
      <c r="B133" s="1"/>
      <c r="C133" s="1"/>
      <c r="D133" s="1"/>
      <c r="E133" s="10"/>
      <c r="F133" s="10"/>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row>
    <row r="134" spans="1:182" s="2" customFormat="1">
      <c r="A134" s="1"/>
      <c r="B134" s="1"/>
      <c r="C134" s="1"/>
      <c r="D134" s="1"/>
      <c r="E134" s="10"/>
      <c r="F134" s="10"/>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row>
    <row r="135" spans="1:182" s="2" customFormat="1">
      <c r="A135" s="1"/>
      <c r="B135" s="1"/>
      <c r="C135" s="1"/>
      <c r="D135" s="1"/>
      <c r="E135" s="10"/>
      <c r="F135" s="10"/>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row>
    <row r="136" spans="1:182" s="2" customFormat="1">
      <c r="A136" s="1"/>
      <c r="B136" s="1"/>
      <c r="C136" s="1"/>
      <c r="D136" s="1"/>
      <c r="E136" s="10"/>
      <c r="F136" s="10"/>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row>
    <row r="137" spans="1:182" s="2" customFormat="1">
      <c r="A137" s="1"/>
      <c r="B137" s="1"/>
      <c r="C137" s="1"/>
      <c r="D137" s="1"/>
      <c r="E137" s="10"/>
      <c r="F137" s="10"/>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row>
    <row r="138" spans="1:182" s="2" customFormat="1">
      <c r="A138" s="1"/>
      <c r="B138" s="1"/>
      <c r="C138" s="1"/>
      <c r="D138" s="1"/>
      <c r="E138" s="10"/>
      <c r="F138" s="10"/>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row>
    <row r="139" spans="1:182" s="2" customFormat="1">
      <c r="A139" s="1"/>
      <c r="B139" s="1"/>
      <c r="C139" s="1"/>
      <c r="D139" s="1"/>
      <c r="E139" s="10"/>
      <c r="F139" s="10"/>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row>
    <row r="140" spans="1:182" s="2" customFormat="1">
      <c r="A140" s="1"/>
      <c r="B140" s="1"/>
      <c r="C140" s="1"/>
      <c r="D140" s="1"/>
      <c r="E140" s="10"/>
      <c r="F140" s="1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row>
    <row r="141" spans="1:182" s="2" customFormat="1">
      <c r="A141" s="1"/>
      <c r="B141" s="1"/>
      <c r="C141" s="1"/>
      <c r="D141" s="1"/>
      <c r="E141" s="10"/>
      <c r="F141" s="10"/>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row>
    <row r="142" spans="1:182" s="2" customFormat="1">
      <c r="A142" s="1"/>
      <c r="B142" s="1"/>
      <c r="C142" s="1"/>
      <c r="D142" s="1"/>
      <c r="E142" s="10"/>
      <c r="F142" s="10"/>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row>
    <row r="143" spans="1:182" s="2" customFormat="1">
      <c r="A143" s="1"/>
      <c r="B143" s="1"/>
      <c r="C143" s="1"/>
      <c r="D143" s="1"/>
      <c r="E143" s="10"/>
      <c r="F143" s="10"/>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row>
    <row r="144" spans="1:182" s="2" customFormat="1">
      <c r="A144" s="1"/>
      <c r="B144" s="1"/>
      <c r="C144" s="1"/>
      <c r="D144" s="1"/>
      <c r="E144" s="10"/>
      <c r="F144" s="10"/>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row>
    <row r="145" spans="1:182" s="2" customFormat="1">
      <c r="A145" s="1"/>
      <c r="B145" s="1"/>
      <c r="C145" s="1"/>
      <c r="D145" s="1"/>
      <c r="E145" s="10"/>
      <c r="F145" s="10"/>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row>
    <row r="146" spans="1:182" s="2" customFormat="1">
      <c r="A146" s="1"/>
      <c r="B146" s="1"/>
      <c r="C146" s="1"/>
      <c r="D146" s="1"/>
      <c r="E146" s="10"/>
      <c r="F146" s="10"/>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row>
    <row r="147" spans="1:182" s="2" customFormat="1">
      <c r="A147" s="1"/>
      <c r="B147" s="1"/>
      <c r="C147" s="1"/>
      <c r="D147" s="1"/>
      <c r="E147" s="10"/>
      <c r="F147" s="10"/>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row>
    <row r="148" spans="1:182" s="2" customFormat="1">
      <c r="A148" s="1"/>
      <c r="B148" s="1"/>
      <c r="C148" s="1"/>
      <c r="D148" s="1"/>
      <c r="E148" s="10"/>
      <c r="F148" s="10"/>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row>
    <row r="149" spans="1:182" s="2" customFormat="1">
      <c r="A149" s="1"/>
      <c r="B149" s="1"/>
      <c r="C149" s="1"/>
      <c r="D149" s="1"/>
      <c r="E149" s="10"/>
      <c r="F149" s="10"/>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row>
    <row r="150" spans="1:182" s="2" customFormat="1">
      <c r="A150" s="1"/>
      <c r="B150" s="1"/>
      <c r="C150" s="1"/>
      <c r="D150" s="1"/>
      <c r="E150" s="10"/>
      <c r="F150" s="1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row>
    <row r="151" spans="1:182" s="2" customFormat="1">
      <c r="A151" s="1"/>
      <c r="B151" s="1"/>
      <c r="C151" s="1"/>
      <c r="D151" s="1"/>
      <c r="E151" s="10"/>
      <c r="F151" s="10"/>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row>
    <row r="152" spans="1:182" s="2" customFormat="1">
      <c r="A152" s="1"/>
      <c r="B152" s="1"/>
      <c r="C152" s="1"/>
      <c r="D152" s="1"/>
      <c r="E152" s="10"/>
      <c r="F152" s="10"/>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row>
    <row r="153" spans="1:182" s="2" customFormat="1">
      <c r="A153" s="1"/>
      <c r="B153" s="1"/>
      <c r="C153" s="1"/>
      <c r="D153" s="1"/>
      <c r="E153" s="10"/>
      <c r="F153" s="10"/>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row>
    <row r="154" spans="1:182" s="2" customFormat="1">
      <c r="A154" s="1"/>
      <c r="B154" s="1"/>
      <c r="C154" s="1"/>
      <c r="D154" s="1"/>
      <c r="E154" s="10"/>
      <c r="F154" s="10"/>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row>
    <row r="155" spans="1:182" s="2" customFormat="1">
      <c r="A155" s="1"/>
      <c r="B155" s="1"/>
      <c r="C155" s="1"/>
      <c r="D155" s="1"/>
      <c r="E155" s="10"/>
      <c r="F155" s="10"/>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row>
    <row r="156" spans="1:182" s="2" customFormat="1">
      <c r="A156" s="1"/>
      <c r="B156" s="1"/>
      <c r="C156" s="1"/>
      <c r="D156" s="1"/>
      <c r="E156" s="10"/>
      <c r="F156" s="10"/>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row>
    <row r="157" spans="1:182" s="2" customFormat="1">
      <c r="A157" s="1"/>
      <c r="B157" s="1"/>
      <c r="C157" s="1"/>
      <c r="D157" s="1"/>
      <c r="E157" s="10"/>
      <c r="F157" s="10"/>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row>
    <row r="158" spans="1:182" s="2" customFormat="1">
      <c r="A158" s="1"/>
      <c r="B158" s="1"/>
      <c r="C158" s="1"/>
      <c r="D158" s="1"/>
      <c r="E158" s="10"/>
      <c r="F158" s="10"/>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row>
    <row r="159" spans="1:182" s="2" customFormat="1">
      <c r="A159" s="1"/>
      <c r="B159" s="1"/>
      <c r="C159" s="1"/>
      <c r="D159" s="1"/>
      <c r="E159" s="10"/>
      <c r="F159" s="10"/>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row>
    <row r="160" spans="1:182" s="2" customFormat="1">
      <c r="A160" s="1"/>
      <c r="B160" s="1"/>
      <c r="C160" s="1"/>
      <c r="D160" s="1"/>
      <c r="E160" s="10"/>
      <c r="F160" s="1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row>
    <row r="161" spans="1:182" s="2" customFormat="1">
      <c r="A161" s="1"/>
      <c r="B161" s="1"/>
      <c r="C161" s="1"/>
      <c r="D161" s="1"/>
      <c r="E161" s="10"/>
      <c r="F161" s="10"/>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row>
    <row r="162" spans="1:182" s="2" customFormat="1">
      <c r="A162" s="1"/>
      <c r="B162" s="1"/>
      <c r="C162" s="1"/>
      <c r="D162" s="1"/>
      <c r="E162" s="10"/>
      <c r="F162" s="10"/>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row>
    <row r="163" spans="1:182" s="2" customFormat="1">
      <c r="A163" s="1"/>
      <c r="B163" s="1"/>
      <c r="C163" s="1"/>
      <c r="D163" s="1"/>
      <c r="E163" s="10"/>
      <c r="F163" s="10"/>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row>
    <row r="164" spans="1:182" s="2" customFormat="1">
      <c r="A164" s="1"/>
      <c r="B164" s="1"/>
      <c r="C164" s="1"/>
      <c r="D164" s="1"/>
      <c r="E164" s="10"/>
      <c r="F164" s="10"/>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row>
    <row r="165" spans="1:182" s="2" customFormat="1">
      <c r="A165" s="1"/>
      <c r="B165" s="1"/>
      <c r="C165" s="1"/>
      <c r="D165" s="1"/>
      <c r="E165" s="10"/>
      <c r="F165" s="10"/>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row>
    <row r="166" spans="1:182" s="2" customFormat="1">
      <c r="A166" s="1"/>
      <c r="B166" s="1"/>
      <c r="C166" s="1"/>
      <c r="D166" s="1"/>
      <c r="E166" s="10"/>
      <c r="F166" s="10"/>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row>
    <row r="167" spans="1:182" s="2" customFormat="1">
      <c r="A167" s="1"/>
      <c r="B167" s="1"/>
      <c r="C167" s="1"/>
      <c r="D167" s="1"/>
      <c r="E167" s="10"/>
      <c r="F167" s="10"/>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row>
    <row r="168" spans="1:182" s="2" customFormat="1" ht="15.75" customHeight="1">
      <c r="A168" s="1"/>
      <c r="B168" s="1"/>
      <c r="C168" s="1"/>
      <c r="D168" s="1"/>
      <c r="E168" s="10"/>
      <c r="F168" s="10"/>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row>
    <row r="169" spans="1:182" s="2" customFormat="1">
      <c r="A169" s="1"/>
      <c r="B169" s="1"/>
      <c r="C169" s="1"/>
      <c r="D169" s="1"/>
      <c r="E169" s="10"/>
      <c r="F169" s="10"/>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row>
    <row r="170" spans="1:182" s="2" customFormat="1">
      <c r="A170" s="1"/>
      <c r="B170" s="1"/>
      <c r="C170" s="1"/>
      <c r="D170" s="1"/>
      <c r="E170" s="10"/>
      <c r="F170" s="1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row>
    <row r="171" spans="1:182" s="2" customFormat="1">
      <c r="A171" s="1"/>
      <c r="B171" s="1"/>
      <c r="C171" s="1"/>
      <c r="D171" s="1"/>
      <c r="E171" s="10"/>
      <c r="F171" s="10"/>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row>
    <row r="172" spans="1:182" s="2" customFormat="1">
      <c r="A172" s="1"/>
      <c r="B172" s="1"/>
      <c r="C172" s="1"/>
      <c r="D172" s="1"/>
      <c r="E172" s="10"/>
      <c r="F172" s="10"/>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row>
    <row r="173" spans="1:182" s="2" customFormat="1">
      <c r="A173" s="1"/>
      <c r="B173" s="1"/>
      <c r="C173" s="1"/>
      <c r="D173" s="1"/>
      <c r="E173" s="10"/>
      <c r="F173" s="10"/>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row>
    <row r="174" spans="1:182" s="2" customFormat="1">
      <c r="A174" s="1"/>
      <c r="B174" s="1"/>
      <c r="C174" s="1"/>
      <c r="D174" s="1"/>
      <c r="E174" s="10"/>
      <c r="F174" s="10"/>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row>
    <row r="175" spans="1:182" s="2" customFormat="1">
      <c r="A175" s="1"/>
      <c r="B175" s="1"/>
      <c r="C175" s="1"/>
      <c r="D175" s="1"/>
      <c r="E175" s="10"/>
      <c r="F175" s="10"/>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row>
    <row r="176" spans="1:182" s="2" customFormat="1">
      <c r="A176" s="1"/>
      <c r="B176" s="1"/>
      <c r="C176" s="1"/>
      <c r="D176" s="1"/>
      <c r="E176" s="10"/>
      <c r="F176" s="10"/>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row>
    <row r="177" spans="1:182" s="2" customFormat="1">
      <c r="A177" s="1"/>
      <c r="B177" s="1"/>
      <c r="C177" s="1"/>
      <c r="D177" s="1"/>
      <c r="E177" s="10"/>
      <c r="F177" s="10"/>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row>
    <row r="178" spans="1:182" s="2" customFormat="1">
      <c r="A178" s="1"/>
      <c r="B178" s="1"/>
      <c r="C178" s="1"/>
      <c r="D178" s="1"/>
      <c r="E178" s="10"/>
      <c r="F178" s="10"/>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row>
    <row r="179" spans="1:182" s="2" customFormat="1">
      <c r="A179" s="1"/>
      <c r="B179" s="1"/>
      <c r="C179" s="1"/>
      <c r="D179" s="1"/>
      <c r="E179" s="10"/>
      <c r="F179" s="10"/>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row>
    <row r="180" spans="1:182" s="2" customFormat="1">
      <c r="A180" s="1"/>
      <c r="B180" s="1"/>
      <c r="C180" s="1"/>
      <c r="D180" s="1"/>
      <c r="E180" s="10"/>
      <c r="F180" s="1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row>
    <row r="181" spans="1:182" s="2" customFormat="1">
      <c r="A181" s="1"/>
      <c r="B181" s="1"/>
      <c r="C181" s="1"/>
      <c r="D181" s="1"/>
      <c r="E181" s="10"/>
      <c r="F181" s="10"/>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row>
    <row r="182" spans="1:182" s="2" customFormat="1">
      <c r="A182" s="1"/>
      <c r="B182" s="1"/>
      <c r="C182" s="1"/>
      <c r="D182" s="1"/>
      <c r="E182" s="10"/>
      <c r="F182" s="10"/>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row>
    <row r="183" spans="1:182">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row>
  </sheetData>
  <mergeCells count="3">
    <mergeCell ref="G2:K2"/>
    <mergeCell ref="G3:K3"/>
    <mergeCell ref="A19:C19"/>
  </mergeCells>
  <dataValidations count="1">
    <dataValidation type="list" allowBlank="1" showInputMessage="1" showErrorMessage="1" sqref="B3">
      <formula1>"Strip"</formula1>
    </dataValidation>
  </dataValidations>
  <pageMargins left="0.7" right="0.7" top="0.75" bottom="0.75" header="0.3" footer="0.3"/>
  <pageSetup scale="52" orientation="portrait" horizontalDpi="4294967293" r:id="rId1"/>
  <headerFooter>
    <oddFooter>&amp;LOffset Surcharge by Elastic Methods (Bousinessq)</oddFooter>
  </headerFooter>
  <rowBreaks count="3" manualBreakCount="3">
    <brk id="21" max="16383" man="1"/>
    <brk id="85" max="16383" man="1"/>
    <brk id="140" max="16383" man="1"/>
  </rowBreaks>
  <colBreaks count="3" manualBreakCount="3">
    <brk id="10" max="1048575" man="1"/>
    <brk id="23" max="1048575" man="1"/>
    <brk id="39" max="1048575" man="1"/>
  </colBreaks>
  <drawing r:id="rId2"/>
</worksheet>
</file>

<file path=xl/worksheets/sheet3.xml><?xml version="1.0" encoding="utf-8"?>
<worksheet xmlns="http://schemas.openxmlformats.org/spreadsheetml/2006/main" xmlns:r="http://schemas.openxmlformats.org/officeDocument/2006/relationships">
  <dimension ref="A1:N44"/>
  <sheetViews>
    <sheetView zoomScale="85" zoomScaleNormal="85" workbookViewId="0">
      <selection activeCell="B18" sqref="B18"/>
    </sheetView>
  </sheetViews>
  <sheetFormatPr defaultRowHeight="15"/>
  <cols>
    <col min="1" max="1" width="22.7109375" style="1" customWidth="1"/>
    <col min="2" max="4" width="14.5703125" style="57" customWidth="1"/>
    <col min="5" max="5" width="10.28515625" style="1" customWidth="1"/>
    <col min="6" max="6" width="12.140625" style="1" customWidth="1"/>
    <col min="8" max="8" width="6.42578125" customWidth="1"/>
    <col min="9" max="10" width="10.5703125" customWidth="1"/>
    <col min="11" max="11" width="9.85546875" customWidth="1"/>
    <col min="12" max="12" width="12.140625" customWidth="1"/>
    <col min="13" max="13" width="11.5703125" customWidth="1"/>
    <col min="14" max="14" width="15.5703125" customWidth="1"/>
  </cols>
  <sheetData>
    <row r="1" spans="1:6">
      <c r="A1" s="135" t="s">
        <v>148</v>
      </c>
      <c r="B1" s="131"/>
      <c r="C1" s="47"/>
      <c r="D1" s="132"/>
      <c r="E1"/>
      <c r="F1"/>
    </row>
    <row r="2" spans="1:6">
      <c r="A2" s="136" t="s">
        <v>143</v>
      </c>
      <c r="B2" s="63"/>
      <c r="C2" s="38"/>
      <c r="D2" s="48"/>
      <c r="E2"/>
      <c r="F2"/>
    </row>
    <row r="3" spans="1:6">
      <c r="A3" s="33"/>
      <c r="B3" s="63"/>
      <c r="C3" s="38"/>
      <c r="D3" s="48"/>
      <c r="E3"/>
      <c r="F3"/>
    </row>
    <row r="4" spans="1:6">
      <c r="A4" s="33" t="s">
        <v>179</v>
      </c>
      <c r="B4" s="63">
        <v>1740</v>
      </c>
      <c r="C4" s="38" t="s">
        <v>1</v>
      </c>
      <c r="D4" s="48"/>
      <c r="E4"/>
      <c r="F4"/>
    </row>
    <row r="5" spans="1:6">
      <c r="A5" s="33" t="s">
        <v>248</v>
      </c>
      <c r="B5" s="63">
        <v>2</v>
      </c>
      <c r="C5" s="38" t="s">
        <v>2</v>
      </c>
      <c r="D5" s="48"/>
      <c r="E5"/>
      <c r="F5"/>
    </row>
    <row r="6" spans="1:6">
      <c r="A6" s="33" t="s">
        <v>249</v>
      </c>
      <c r="B6" s="63">
        <v>6</v>
      </c>
      <c r="C6" s="38" t="s">
        <v>2</v>
      </c>
      <c r="D6" s="48"/>
      <c r="E6"/>
      <c r="F6"/>
    </row>
    <row r="7" spans="1:6" ht="45">
      <c r="A7" s="33" t="s">
        <v>178</v>
      </c>
      <c r="B7" s="63">
        <v>7.5</v>
      </c>
      <c r="C7" s="38" t="s">
        <v>2</v>
      </c>
      <c r="D7" s="48"/>
      <c r="E7"/>
      <c r="F7"/>
    </row>
    <row r="8" spans="1:6" ht="60">
      <c r="A8" s="33" t="s">
        <v>275</v>
      </c>
      <c r="B8" s="63">
        <v>1</v>
      </c>
      <c r="C8" s="38"/>
      <c r="D8" s="48"/>
      <c r="E8"/>
      <c r="F8"/>
    </row>
    <row r="9" spans="1:6">
      <c r="A9" s="33"/>
      <c r="B9" s="63"/>
      <c r="C9" s="38"/>
      <c r="D9" s="48"/>
      <c r="E9"/>
      <c r="F9"/>
    </row>
    <row r="10" spans="1:6">
      <c r="A10" s="136" t="s">
        <v>247</v>
      </c>
      <c r="B10" s="63"/>
      <c r="C10" s="63"/>
      <c r="D10" s="48"/>
      <c r="E10"/>
      <c r="F10"/>
    </row>
    <row r="11" spans="1:6" ht="30">
      <c r="A11" s="35" t="s">
        <v>177</v>
      </c>
      <c r="B11" s="63">
        <f>B5</f>
        <v>2</v>
      </c>
      <c r="C11" s="63"/>
      <c r="D11" s="48"/>
      <c r="E11"/>
      <c r="F11"/>
    </row>
    <row r="12" spans="1:6" ht="30">
      <c r="A12" s="35" t="s">
        <v>176</v>
      </c>
      <c r="B12" s="63">
        <f>B5+B6</f>
        <v>8</v>
      </c>
      <c r="C12" s="63"/>
      <c r="D12" s="48"/>
      <c r="E12"/>
      <c r="F12"/>
    </row>
    <row r="13" spans="1:6">
      <c r="A13" s="35" t="s">
        <v>246</v>
      </c>
      <c r="B13" s="63">
        <f>DEGREES(ATAN(B5/B7))</f>
        <v>14.931417178137552</v>
      </c>
      <c r="C13" s="38" t="s">
        <v>174</v>
      </c>
      <c r="D13" s="48"/>
      <c r="E13"/>
      <c r="F13"/>
    </row>
    <row r="14" spans="1:6">
      <c r="A14" s="35" t="s">
        <v>175</v>
      </c>
      <c r="B14" s="63">
        <f>DEGREES(ATAN((B5+B6)/B7))</f>
        <v>46.847610265994597</v>
      </c>
      <c r="C14" s="38" t="s">
        <v>174</v>
      </c>
      <c r="D14" s="48"/>
      <c r="E14"/>
      <c r="F14"/>
    </row>
    <row r="15" spans="1:6" ht="30">
      <c r="A15" s="137" t="s">
        <v>173</v>
      </c>
      <c r="B15" s="63">
        <f>(B4/90)*(B7*(B14-B13))</f>
        <v>4627.8479977392717</v>
      </c>
      <c r="C15" s="38" t="s">
        <v>144</v>
      </c>
      <c r="D15" s="48" t="s">
        <v>172</v>
      </c>
      <c r="E15"/>
      <c r="F15"/>
    </row>
    <row r="16" spans="1:6">
      <c r="A16" s="137"/>
      <c r="B16" s="63"/>
      <c r="C16" s="38"/>
      <c r="D16" s="48"/>
      <c r="E16"/>
      <c r="F16"/>
    </row>
    <row r="17" spans="1:14">
      <c r="A17" s="137" t="s">
        <v>276</v>
      </c>
      <c r="B17" s="63">
        <f>K44</f>
        <v>2308.6099036684868</v>
      </c>
      <c r="C17" s="38" t="s">
        <v>144</v>
      </c>
      <c r="D17" s="48"/>
      <c r="E17"/>
      <c r="F17"/>
    </row>
    <row r="18" spans="1:14" ht="30">
      <c r="A18" s="133" t="s">
        <v>170</v>
      </c>
      <c r="B18" s="62">
        <f>N44</f>
        <v>3.9882314590304553</v>
      </c>
      <c r="C18" s="54" t="s">
        <v>2</v>
      </c>
      <c r="D18" s="134"/>
      <c r="E18"/>
      <c r="F18"/>
    </row>
    <row r="22" spans="1:14" s="142" customFormat="1" ht="45">
      <c r="A22" s="138" t="s">
        <v>169</v>
      </c>
      <c r="B22" s="70" t="s">
        <v>167</v>
      </c>
      <c r="C22" s="70" t="s">
        <v>168</v>
      </c>
      <c r="D22" s="70" t="s">
        <v>250</v>
      </c>
      <c r="E22" s="70" t="s">
        <v>166</v>
      </c>
      <c r="F22" s="70" t="s">
        <v>165</v>
      </c>
      <c r="G22" s="70" t="s">
        <v>164</v>
      </c>
      <c r="H22" s="70"/>
      <c r="I22" s="139" t="s">
        <v>251</v>
      </c>
      <c r="J22" s="143" t="s">
        <v>288</v>
      </c>
      <c r="K22" s="139" t="s">
        <v>5</v>
      </c>
      <c r="L22" s="140" t="s">
        <v>163</v>
      </c>
      <c r="M22" s="140" t="s">
        <v>162</v>
      </c>
      <c r="N22" s="141" t="s">
        <v>161</v>
      </c>
    </row>
    <row r="23" spans="1:14">
      <c r="A23" s="127">
        <v>90</v>
      </c>
      <c r="B23" s="130">
        <f t="shared" ref="B23:B32" si="0">A23+D23/2</f>
        <v>90</v>
      </c>
      <c r="C23" s="128">
        <v>90</v>
      </c>
      <c r="D23" s="130">
        <f t="shared" ref="D23:D32" si="1">C23-A23</f>
        <v>0</v>
      </c>
      <c r="E23" s="68">
        <v>0</v>
      </c>
      <c r="F23" s="68">
        <f t="shared" ref="F23:F43" si="2">E23*H</f>
        <v>0</v>
      </c>
      <c r="G23" s="67">
        <f t="shared" ref="G23:G43" si="3">H-F23</f>
        <v>7.5</v>
      </c>
      <c r="H23" s="66" t="s">
        <v>160</v>
      </c>
      <c r="I23" s="39">
        <f t="shared" ref="I23:I43" si="4">K*q/PI()*(RADIANS(D23)-SIN(RADIANS(D23))*COS(RADIANS(2*B23)))</f>
        <v>0</v>
      </c>
      <c r="J23" s="39">
        <f t="shared" ref="J23:J43" si="5">K*q/PI()*(RADIANS(D23)-SIN(RADIANS(D23))*COS(RADIANS(D23+2*A23)))</f>
        <v>0</v>
      </c>
      <c r="K23" s="67">
        <v>0</v>
      </c>
      <c r="L23" s="67">
        <f>G23-F23</f>
        <v>7.5</v>
      </c>
      <c r="M23" s="66"/>
      <c r="N23" s="65"/>
    </row>
    <row r="24" spans="1:14">
      <c r="A24" s="129">
        <f t="shared" ref="A24:A43" si="6">DEGREES(ATAN(x_1/F24))</f>
        <v>79.380344723844871</v>
      </c>
      <c r="B24" s="130">
        <f t="shared" si="0"/>
        <v>83.348284782187946</v>
      </c>
      <c r="C24" s="130">
        <f t="shared" ref="C24:C43" si="7">DEGREES(ATAN(x_2/F24))</f>
        <v>87.316224840531021</v>
      </c>
      <c r="D24" s="130">
        <f t="shared" si="1"/>
        <v>7.9358801166861497</v>
      </c>
      <c r="E24" s="63">
        <v>0.05</v>
      </c>
      <c r="F24" s="68">
        <f t="shared" si="2"/>
        <v>0.375</v>
      </c>
      <c r="G24" s="67">
        <f t="shared" si="3"/>
        <v>7.125</v>
      </c>
      <c r="H24" s="31" t="s">
        <v>159</v>
      </c>
      <c r="I24" s="39">
        <f t="shared" si="4"/>
        <v>151.12994514295968</v>
      </c>
      <c r="J24" s="39">
        <f t="shared" si="5"/>
        <v>151.12994514295968</v>
      </c>
      <c r="K24" s="39">
        <f t="shared" ref="K24:K41" si="8">((I24+I23)/2)*(G23-G24)</f>
        <v>28.336864714304941</v>
      </c>
      <c r="L24" s="31">
        <f t="shared" ref="L24:L32" si="9">G23-((F24-F23)*(2*I24+I23))/(3*(I24+I23))</f>
        <v>7.25</v>
      </c>
      <c r="M24" s="31">
        <f t="shared" ref="M24:M32" si="10">K24*L24</f>
        <v>205.44226917871083</v>
      </c>
      <c r="N24" s="32"/>
    </row>
    <row r="25" spans="1:14">
      <c r="A25" s="129">
        <f t="shared" si="6"/>
        <v>69.443954780416533</v>
      </c>
      <c r="B25" s="130">
        <f t="shared" si="0"/>
        <v>77.04406486878068</v>
      </c>
      <c r="C25" s="130">
        <f t="shared" si="7"/>
        <v>84.644174957144813</v>
      </c>
      <c r="D25" s="130">
        <f t="shared" si="1"/>
        <v>15.20022017672828</v>
      </c>
      <c r="E25" s="63">
        <v>0.1</v>
      </c>
      <c r="F25" s="68">
        <f t="shared" si="2"/>
        <v>0.75</v>
      </c>
      <c r="G25" s="67">
        <f t="shared" si="3"/>
        <v>6.75</v>
      </c>
      <c r="H25" s="31" t="s">
        <v>158</v>
      </c>
      <c r="I25" s="39">
        <f t="shared" si="4"/>
        <v>277.55424789640148</v>
      </c>
      <c r="J25" s="39">
        <f t="shared" si="5"/>
        <v>277.55424789640148</v>
      </c>
      <c r="K25" s="39">
        <f t="shared" si="8"/>
        <v>80.378286194880218</v>
      </c>
      <c r="L25" s="31">
        <f t="shared" si="9"/>
        <v>6.9190679722966495</v>
      </c>
      <c r="M25" s="31">
        <f t="shared" si="10"/>
        <v>556.1428256790897</v>
      </c>
      <c r="N25" s="32"/>
    </row>
    <row r="26" spans="1:14">
      <c r="A26" s="129">
        <f t="shared" si="6"/>
        <v>60.642246457208728</v>
      </c>
      <c r="B26" s="130">
        <f t="shared" si="0"/>
        <v>71.318758799957934</v>
      </c>
      <c r="C26" s="130">
        <f t="shared" si="7"/>
        <v>81.995271142707139</v>
      </c>
      <c r="D26" s="130">
        <f t="shared" si="1"/>
        <v>21.353024685498411</v>
      </c>
      <c r="E26" s="68">
        <v>0.15</v>
      </c>
      <c r="F26" s="68">
        <f t="shared" si="2"/>
        <v>1.125</v>
      </c>
      <c r="G26" s="67">
        <f t="shared" si="3"/>
        <v>6.375</v>
      </c>
      <c r="H26" s="31" t="s">
        <v>157</v>
      </c>
      <c r="I26" s="39">
        <f t="shared" si="4"/>
        <v>366.70036121521736</v>
      </c>
      <c r="J26" s="39">
        <f t="shared" si="5"/>
        <v>366.70036121521736</v>
      </c>
      <c r="K26" s="39">
        <f t="shared" si="8"/>
        <v>120.79773920842854</v>
      </c>
      <c r="L26" s="31">
        <f t="shared" si="9"/>
        <v>6.5538518164967279</v>
      </c>
      <c r="M26" s="31">
        <f t="shared" si="10"/>
        <v>791.69048253985738</v>
      </c>
      <c r="N26" s="32"/>
    </row>
    <row r="27" spans="1:14">
      <c r="A27" s="129">
        <f t="shared" si="6"/>
        <v>53.13010235415598</v>
      </c>
      <c r="B27" s="130">
        <f t="shared" si="0"/>
        <v>66.255223539000426</v>
      </c>
      <c r="C27" s="130">
        <f t="shared" si="7"/>
        <v>79.380344723844871</v>
      </c>
      <c r="D27" s="130">
        <f t="shared" si="1"/>
        <v>26.250242369688891</v>
      </c>
      <c r="E27" s="63">
        <v>0.2</v>
      </c>
      <c r="F27" s="68">
        <f t="shared" si="2"/>
        <v>1.5</v>
      </c>
      <c r="G27" s="67">
        <f t="shared" si="3"/>
        <v>6</v>
      </c>
      <c r="H27" s="31" t="s">
        <v>156</v>
      </c>
      <c r="I27" s="39">
        <f t="shared" si="4"/>
        <v>419.28309307761845</v>
      </c>
      <c r="J27" s="39">
        <f t="shared" si="5"/>
        <v>419.28309307761845</v>
      </c>
      <c r="K27" s="39">
        <f t="shared" si="8"/>
        <v>147.37189767990674</v>
      </c>
      <c r="L27" s="31">
        <f t="shared" si="9"/>
        <v>6.1833187151097766</v>
      </c>
      <c r="M27" s="31">
        <f t="shared" si="10"/>
        <v>911.24741300541041</v>
      </c>
      <c r="N27" s="32"/>
    </row>
    <row r="28" spans="1:14">
      <c r="A28" s="129">
        <f t="shared" si="6"/>
        <v>46.847610265994597</v>
      </c>
      <c r="B28" s="130">
        <f t="shared" si="0"/>
        <v>61.828499776893878</v>
      </c>
      <c r="C28" s="130">
        <f t="shared" si="7"/>
        <v>76.809389287793152</v>
      </c>
      <c r="D28" s="130">
        <f t="shared" si="1"/>
        <v>29.961779021798556</v>
      </c>
      <c r="E28" s="63">
        <v>0.25</v>
      </c>
      <c r="F28" s="68">
        <f t="shared" si="2"/>
        <v>1.875</v>
      </c>
      <c r="G28" s="67">
        <f t="shared" si="3"/>
        <v>5.625</v>
      </c>
      <c r="H28" s="31" t="s">
        <v>155</v>
      </c>
      <c r="I28" s="39">
        <f t="shared" si="4"/>
        <v>442.93305575618996</v>
      </c>
      <c r="J28" s="39">
        <f t="shared" si="5"/>
        <v>442.93305575618996</v>
      </c>
      <c r="K28" s="39">
        <f t="shared" si="8"/>
        <v>161.66552790633907</v>
      </c>
      <c r="L28" s="31">
        <f t="shared" si="9"/>
        <v>5.8107856703978351</v>
      </c>
      <c r="M28" s="31">
        <f t="shared" si="10"/>
        <v>939.40373295545635</v>
      </c>
      <c r="N28" s="32"/>
    </row>
    <row r="29" spans="1:14">
      <c r="A29" s="129">
        <f t="shared" si="6"/>
        <v>41.633539336570202</v>
      </c>
      <c r="B29" s="130">
        <f t="shared" si="0"/>
        <v>57.962450753777233</v>
      </c>
      <c r="C29" s="130">
        <f t="shared" si="7"/>
        <v>74.291362170984257</v>
      </c>
      <c r="D29" s="130">
        <f t="shared" si="1"/>
        <v>32.657822834414056</v>
      </c>
      <c r="E29" s="68">
        <v>0.3</v>
      </c>
      <c r="F29" s="68">
        <f t="shared" si="2"/>
        <v>2.25</v>
      </c>
      <c r="G29" s="67">
        <f t="shared" si="3"/>
        <v>5.25</v>
      </c>
      <c r="H29" s="31" t="s">
        <v>154</v>
      </c>
      <c r="I29" s="39">
        <f t="shared" si="4"/>
        <v>446.35777551966845</v>
      </c>
      <c r="J29" s="39">
        <f t="shared" si="5"/>
        <v>446.35777551966845</v>
      </c>
      <c r="K29" s="39">
        <f t="shared" si="8"/>
        <v>166.74203086422347</v>
      </c>
      <c r="L29" s="31">
        <f t="shared" si="9"/>
        <v>5.4372593082288834</v>
      </c>
      <c r="M29" s="31">
        <f t="shared" si="10"/>
        <v>906.61965938948686</v>
      </c>
      <c r="N29" s="32"/>
    </row>
    <row r="30" spans="1:14">
      <c r="A30" s="129">
        <f t="shared" si="6"/>
        <v>37.30394827798343</v>
      </c>
      <c r="B30" s="130">
        <f t="shared" si="0"/>
        <v>54.568995874378956</v>
      </c>
      <c r="C30" s="130">
        <f t="shared" si="7"/>
        <v>71.834043470774475</v>
      </c>
      <c r="D30" s="130">
        <f t="shared" si="1"/>
        <v>34.530095192791045</v>
      </c>
      <c r="E30" s="63">
        <v>0.35</v>
      </c>
      <c r="F30" s="68">
        <f t="shared" si="2"/>
        <v>2.625</v>
      </c>
      <c r="G30" s="67">
        <f t="shared" si="3"/>
        <v>4.875</v>
      </c>
      <c r="H30" s="31" t="s">
        <v>153</v>
      </c>
      <c r="I30" s="39">
        <f t="shared" si="4"/>
        <v>436.71734914148885</v>
      </c>
      <c r="J30" s="39">
        <f t="shared" si="5"/>
        <v>436.71734914148885</v>
      </c>
      <c r="K30" s="39">
        <f t="shared" si="8"/>
        <v>165.57658587396702</v>
      </c>
      <c r="L30" s="31">
        <f t="shared" si="9"/>
        <v>5.0631823050857276</v>
      </c>
      <c r="M30" s="31">
        <f t="shared" si="10"/>
        <v>838.34443973357725</v>
      </c>
      <c r="N30" s="32"/>
    </row>
    <row r="31" spans="1:14">
      <c r="A31" s="129">
        <f t="shared" si="6"/>
        <v>33.690067525979785</v>
      </c>
      <c r="B31" s="130">
        <f t="shared" si="0"/>
        <v>51.567011153198159</v>
      </c>
      <c r="C31" s="130">
        <f t="shared" si="7"/>
        <v>69.443954780416533</v>
      </c>
      <c r="D31" s="130">
        <f t="shared" si="1"/>
        <v>35.753887254436748</v>
      </c>
      <c r="E31" s="63">
        <v>0.4</v>
      </c>
      <c r="F31" s="68">
        <f t="shared" si="2"/>
        <v>3</v>
      </c>
      <c r="G31" s="67">
        <f t="shared" si="3"/>
        <v>4.5</v>
      </c>
      <c r="H31" s="31" t="s">
        <v>152</v>
      </c>
      <c r="I31" s="39">
        <f t="shared" si="4"/>
        <v>419.15753757293868</v>
      </c>
      <c r="J31" s="39">
        <f t="shared" si="5"/>
        <v>419.15753757293868</v>
      </c>
      <c r="K31" s="39">
        <f t="shared" si="8"/>
        <v>160.47654125895514</v>
      </c>
      <c r="L31" s="31">
        <f t="shared" si="9"/>
        <v>4.6887822998315176</v>
      </c>
      <c r="M31" s="31">
        <f t="shared" si="10"/>
        <v>752.43956619317112</v>
      </c>
      <c r="N31" s="32"/>
    </row>
    <row r="32" spans="1:14">
      <c r="A32" s="129">
        <f t="shared" si="6"/>
        <v>30.650667957052864</v>
      </c>
      <c r="B32" s="130">
        <f t="shared" si="0"/>
        <v>48.888501383213082</v>
      </c>
      <c r="C32" s="130">
        <f t="shared" si="7"/>
        <v>67.12633480937329</v>
      </c>
      <c r="D32" s="130">
        <f t="shared" si="1"/>
        <v>36.47566685232043</v>
      </c>
      <c r="E32" s="68">
        <v>0.45</v>
      </c>
      <c r="F32" s="68">
        <f t="shared" si="2"/>
        <v>3.375</v>
      </c>
      <c r="G32" s="67">
        <f t="shared" si="3"/>
        <v>4.125</v>
      </c>
      <c r="H32" s="31" t="s">
        <v>151</v>
      </c>
      <c r="I32" s="39">
        <f t="shared" si="4"/>
        <v>397.15274326125592</v>
      </c>
      <c r="J32" s="39">
        <f t="shared" si="5"/>
        <v>397.15274326125592</v>
      </c>
      <c r="K32" s="39">
        <f t="shared" si="8"/>
        <v>153.05817765641149</v>
      </c>
      <c r="L32" s="31">
        <f t="shared" si="9"/>
        <v>4.3141847756015945</v>
      </c>
      <c r="M32" s="31">
        <f t="shared" si="10"/>
        <v>660.32125982661455</v>
      </c>
      <c r="N32" s="32"/>
    </row>
    <row r="33" spans="1:14">
      <c r="A33" s="129">
        <f t="shared" si="6"/>
        <v>28.072486935852957</v>
      </c>
      <c r="B33" s="130">
        <f t="shared" ref="B33:B40" si="11">A33+D33/2</f>
        <v>46.4788260248542</v>
      </c>
      <c r="C33" s="130">
        <f t="shared" si="7"/>
        <v>64.885165113855436</v>
      </c>
      <c r="D33" s="130">
        <f t="shared" ref="D33:D40" si="12">C33-A33</f>
        <v>36.812678178002479</v>
      </c>
      <c r="E33" s="63">
        <v>0.5</v>
      </c>
      <c r="F33" s="68">
        <f t="shared" si="2"/>
        <v>3.75</v>
      </c>
      <c r="G33" s="67">
        <f t="shared" si="3"/>
        <v>3.75</v>
      </c>
      <c r="H33" s="31" t="s">
        <v>150</v>
      </c>
      <c r="I33" s="39">
        <f t="shared" si="4"/>
        <v>372.97981295126311</v>
      </c>
      <c r="J33" s="39">
        <f t="shared" si="5"/>
        <v>372.97981295126311</v>
      </c>
      <c r="K33" s="39">
        <f t="shared" si="8"/>
        <v>144.39985428984733</v>
      </c>
      <c r="L33" s="31">
        <f t="shared" ref="L33:L43" si="13">G32-((F33-F32)*(2*I33+I32))/(3*(I33+I32))</f>
        <v>3.9394617507819754</v>
      </c>
      <c r="M33" s="31">
        <f t="shared" ref="M33:M43" si="14">K33*L33</f>
        <v>568.85770279334406</v>
      </c>
      <c r="N33" s="32"/>
    </row>
    <row r="34" spans="1:14">
      <c r="A34" s="129">
        <f t="shared" si="6"/>
        <v>25.866356794094518</v>
      </c>
      <c r="B34" s="130">
        <f t="shared" si="11"/>
        <v>44.294796705490413</v>
      </c>
      <c r="C34" s="130">
        <f t="shared" si="7"/>
        <v>62.723236616886318</v>
      </c>
      <c r="D34" s="130">
        <f t="shared" si="12"/>
        <v>36.856879822791797</v>
      </c>
      <c r="E34" s="63">
        <v>0.55000000000000004</v>
      </c>
      <c r="F34" s="68">
        <f t="shared" si="2"/>
        <v>4.125</v>
      </c>
      <c r="G34" s="67">
        <f t="shared" si="3"/>
        <v>3.375</v>
      </c>
      <c r="H34" s="31" t="s">
        <v>252</v>
      </c>
      <c r="I34" s="39">
        <f t="shared" si="4"/>
        <v>348.10611764581154</v>
      </c>
      <c r="J34" s="39">
        <f t="shared" si="5"/>
        <v>348.10611764581154</v>
      </c>
      <c r="K34" s="39">
        <f t="shared" si="8"/>
        <v>135.2036119869515</v>
      </c>
      <c r="L34" s="31">
        <f t="shared" si="13"/>
        <v>3.5646559232965527</v>
      </c>
      <c r="M34" s="31">
        <f t="shared" si="14"/>
        <v>481.95435632037544</v>
      </c>
      <c r="N34" s="32"/>
    </row>
    <row r="35" spans="1:14">
      <c r="A35" s="129">
        <f t="shared" si="6"/>
        <v>23.962488974578182</v>
      </c>
      <c r="B35" s="130">
        <f t="shared" si="11"/>
        <v>42.302367715893453</v>
      </c>
      <c r="C35" s="130">
        <f t="shared" si="7"/>
        <v>60.642246457208728</v>
      </c>
      <c r="D35" s="130">
        <f t="shared" si="12"/>
        <v>36.679757482630549</v>
      </c>
      <c r="E35" s="68">
        <v>0.6</v>
      </c>
      <c r="F35" s="68">
        <f t="shared" si="2"/>
        <v>4.5</v>
      </c>
      <c r="G35" s="67">
        <f t="shared" si="3"/>
        <v>3</v>
      </c>
      <c r="H35" s="31" t="s">
        <v>253</v>
      </c>
      <c r="I35" s="39">
        <f t="shared" si="4"/>
        <v>323.46310883117701</v>
      </c>
      <c r="J35" s="39">
        <f t="shared" si="5"/>
        <v>323.46310883117701</v>
      </c>
      <c r="K35" s="39">
        <f t="shared" si="8"/>
        <v>125.91922996443535</v>
      </c>
      <c r="L35" s="31">
        <f t="shared" si="13"/>
        <v>3.189793416657869</v>
      </c>
      <c r="M35" s="31">
        <f t="shared" si="14"/>
        <v>401.65633077118412</v>
      </c>
      <c r="N35" s="32"/>
    </row>
    <row r="36" spans="1:14">
      <c r="A36" s="129">
        <f t="shared" si="6"/>
        <v>22.306205054907643</v>
      </c>
      <c r="B36" s="130">
        <f t="shared" si="11"/>
        <v>40.47455991544885</v>
      </c>
      <c r="C36" s="130">
        <f t="shared" si="7"/>
        <v>58.642914775990064</v>
      </c>
      <c r="D36" s="130">
        <f t="shared" si="12"/>
        <v>36.336709721082421</v>
      </c>
      <c r="E36" s="63">
        <v>0.65</v>
      </c>
      <c r="F36" s="68">
        <f t="shared" si="2"/>
        <v>4.875</v>
      </c>
      <c r="G36" s="67">
        <f t="shared" si="3"/>
        <v>2.625</v>
      </c>
      <c r="H36" s="31" t="s">
        <v>254</v>
      </c>
      <c r="I36" s="39">
        <f t="shared" si="4"/>
        <v>299.62870848204221</v>
      </c>
      <c r="J36" s="39">
        <f t="shared" si="5"/>
        <v>299.62870848204221</v>
      </c>
      <c r="K36" s="39">
        <f t="shared" si="8"/>
        <v>116.82971574622862</v>
      </c>
      <c r="L36" s="31">
        <f t="shared" si="13"/>
        <v>2.8148907391822995</v>
      </c>
      <c r="M36" s="31">
        <f t="shared" si="14"/>
        <v>328.86288491535942</v>
      </c>
      <c r="N36" s="32"/>
    </row>
    <row r="37" spans="1:14">
      <c r="A37" s="129">
        <f t="shared" si="6"/>
        <v>20.854458039578347</v>
      </c>
      <c r="B37" s="130">
        <f t="shared" si="11"/>
        <v>38.789785027371707</v>
      </c>
      <c r="C37" s="130">
        <f t="shared" si="7"/>
        <v>56.725112015165074</v>
      </c>
      <c r="D37" s="130">
        <f t="shared" si="12"/>
        <v>35.870653975586727</v>
      </c>
      <c r="E37" s="63">
        <v>0.7</v>
      </c>
      <c r="F37" s="68">
        <f t="shared" si="2"/>
        <v>5.25</v>
      </c>
      <c r="G37" s="67">
        <f t="shared" si="3"/>
        <v>2.25</v>
      </c>
      <c r="H37" s="31" t="s">
        <v>255</v>
      </c>
      <c r="I37" s="39">
        <f t="shared" si="4"/>
        <v>276.94688823932273</v>
      </c>
      <c r="J37" s="39">
        <f t="shared" si="5"/>
        <v>276.94688823932273</v>
      </c>
      <c r="K37" s="39">
        <f t="shared" si="8"/>
        <v>108.10792438525593</v>
      </c>
      <c r="L37" s="31">
        <f t="shared" si="13"/>
        <v>2.4399586780523337</v>
      </c>
      <c r="M37" s="31">
        <f t="shared" si="14"/>
        <v>263.77886827003073</v>
      </c>
      <c r="N37" s="32"/>
    </row>
    <row r="38" spans="1:14">
      <c r="A38" s="129">
        <f t="shared" si="6"/>
        <v>19.573125830410195</v>
      </c>
      <c r="B38" s="130">
        <f t="shared" si="11"/>
        <v>37.230557322994002</v>
      </c>
      <c r="C38" s="130">
        <f t="shared" si="7"/>
        <v>54.887988815577806</v>
      </c>
      <c r="D38" s="130">
        <f t="shared" si="12"/>
        <v>35.314862985167608</v>
      </c>
      <c r="E38" s="68">
        <v>0.75</v>
      </c>
      <c r="F38" s="68">
        <f t="shared" si="2"/>
        <v>5.625</v>
      </c>
      <c r="G38" s="67">
        <f t="shared" si="3"/>
        <v>1.875</v>
      </c>
      <c r="H38" s="31" t="s">
        <v>256</v>
      </c>
      <c r="I38" s="39">
        <f t="shared" si="4"/>
        <v>255.60619333315827</v>
      </c>
      <c r="J38" s="39">
        <f t="shared" si="5"/>
        <v>255.60619333315827</v>
      </c>
      <c r="K38" s="39">
        <f t="shared" si="8"/>
        <v>99.853702794840189</v>
      </c>
      <c r="L38" s="31">
        <f t="shared" si="13"/>
        <v>2.0650045267369346</v>
      </c>
      <c r="M38" s="31">
        <f t="shared" si="14"/>
        <v>206.19834828278948</v>
      </c>
      <c r="N38" s="32"/>
    </row>
    <row r="39" spans="1:14">
      <c r="A39" s="129">
        <f t="shared" si="6"/>
        <v>18.43494882292201</v>
      </c>
      <c r="B39" s="130">
        <f t="shared" si="11"/>
        <v>35.782525588538995</v>
      </c>
      <c r="C39" s="130">
        <f t="shared" si="7"/>
        <v>53.13010235415598</v>
      </c>
      <c r="D39" s="130">
        <f t="shared" si="12"/>
        <v>34.69515353123397</v>
      </c>
      <c r="E39" s="63">
        <v>0.8</v>
      </c>
      <c r="F39" s="68">
        <f t="shared" si="2"/>
        <v>6</v>
      </c>
      <c r="G39" s="67">
        <f t="shared" si="3"/>
        <v>1.5</v>
      </c>
      <c r="H39" s="31" t="s">
        <v>257</v>
      </c>
      <c r="I39" s="39">
        <f t="shared" si="4"/>
        <v>235.69182778249845</v>
      </c>
      <c r="J39" s="39">
        <f t="shared" si="5"/>
        <v>235.69182778249845</v>
      </c>
      <c r="K39" s="39">
        <f t="shared" si="8"/>
        <v>92.118378959185634</v>
      </c>
      <c r="L39" s="31">
        <f t="shared" si="13"/>
        <v>1.6900333866480672</v>
      </c>
      <c r="M39" s="31">
        <f t="shared" si="14"/>
        <v>155.68313596492254</v>
      </c>
      <c r="N39" s="32"/>
    </row>
    <row r="40" spans="1:14">
      <c r="A40" s="129">
        <f t="shared" si="6"/>
        <v>17.417970792202841</v>
      </c>
      <c r="B40" s="130">
        <f t="shared" si="11"/>
        <v>34.433752748022556</v>
      </c>
      <c r="C40" s="130">
        <f t="shared" si="7"/>
        <v>51.449534703842282</v>
      </c>
      <c r="D40" s="130">
        <f t="shared" si="12"/>
        <v>34.031563911639438</v>
      </c>
      <c r="E40" s="63">
        <v>0.85</v>
      </c>
      <c r="F40" s="68">
        <f t="shared" si="2"/>
        <v>6.375</v>
      </c>
      <c r="G40" s="67">
        <f t="shared" si="3"/>
        <v>1.125</v>
      </c>
      <c r="H40" s="31" t="s">
        <v>258</v>
      </c>
      <c r="I40" s="39">
        <f t="shared" si="4"/>
        <v>217.22064939291451</v>
      </c>
      <c r="J40" s="39">
        <f t="shared" si="5"/>
        <v>217.22064939291451</v>
      </c>
      <c r="K40" s="39">
        <f t="shared" si="8"/>
        <v>84.92108947038993</v>
      </c>
      <c r="L40" s="31">
        <f t="shared" si="13"/>
        <v>1.3150489442387383</v>
      </c>
      <c r="M40" s="31">
        <f t="shared" si="14"/>
        <v>111.67538905163971</v>
      </c>
      <c r="N40" s="32"/>
    </row>
    <row r="41" spans="1:14">
      <c r="A41" s="129">
        <f t="shared" si="6"/>
        <v>16.504361381755018</v>
      </c>
      <c r="B41" s="130">
        <f t="shared" ref="B41:B43" si="15">A41+D41/2</f>
        <v>33.174180878417843</v>
      </c>
      <c r="C41" s="130">
        <f t="shared" si="7"/>
        <v>49.844000375080675</v>
      </c>
      <c r="D41" s="130">
        <f t="shared" ref="D41:D43" si="16">C41-A41</f>
        <v>33.339638993325657</v>
      </c>
      <c r="E41" s="68">
        <v>0.9</v>
      </c>
      <c r="F41" s="68">
        <f t="shared" si="2"/>
        <v>6.75</v>
      </c>
      <c r="G41" s="67">
        <f t="shared" si="3"/>
        <v>0.75</v>
      </c>
      <c r="H41" s="31" t="s">
        <v>259</v>
      </c>
      <c r="I41" s="39">
        <f t="shared" si="4"/>
        <v>200.16497003706738</v>
      </c>
      <c r="J41" s="39">
        <f t="shared" si="5"/>
        <v>200.16497003706738</v>
      </c>
      <c r="K41" s="39">
        <f t="shared" si="8"/>
        <v>78.2598036431216</v>
      </c>
      <c r="L41" s="31">
        <f t="shared" si="13"/>
        <v>0.94005394510523921</v>
      </c>
      <c r="M41" s="31">
        <f t="shared" si="14"/>
        <v>73.568437157877838</v>
      </c>
      <c r="N41" s="32"/>
    </row>
    <row r="42" spans="1:14">
      <c r="A42" s="129">
        <f t="shared" si="6"/>
        <v>15.679524122419252</v>
      </c>
      <c r="B42" s="130">
        <f t="shared" si="15"/>
        <v>31.995232818515348</v>
      </c>
      <c r="C42" s="130">
        <f t="shared" si="7"/>
        <v>48.310941514611443</v>
      </c>
      <c r="D42" s="130">
        <f t="shared" si="16"/>
        <v>32.631417392192191</v>
      </c>
      <c r="E42" s="63">
        <v>0.95</v>
      </c>
      <c r="F42" s="68">
        <f t="shared" si="2"/>
        <v>7.125</v>
      </c>
      <c r="G42" s="67">
        <f t="shared" si="3"/>
        <v>0.375</v>
      </c>
      <c r="H42" s="31" t="s">
        <v>260</v>
      </c>
      <c r="I42" s="39">
        <f t="shared" si="4"/>
        <v>184.46889425285869</v>
      </c>
      <c r="J42" s="39">
        <f t="shared" si="5"/>
        <v>184.46889425285869</v>
      </c>
      <c r="K42" s="39">
        <f t="shared" ref="K42:K43" si="17">((I42+I41)/2)*(G41-G42)</f>
        <v>72.118849554361134</v>
      </c>
      <c r="L42" s="31">
        <f t="shared" si="13"/>
        <v>0.56505048977115957</v>
      </c>
      <c r="M42" s="31">
        <f t="shared" si="14"/>
        <v>40.750791262424329</v>
      </c>
      <c r="N42" s="32"/>
    </row>
    <row r="43" spans="1:14">
      <c r="A43" s="129">
        <f t="shared" si="6"/>
        <v>14.931417178137552</v>
      </c>
      <c r="B43" s="130">
        <f t="shared" si="15"/>
        <v>30.889513722066077</v>
      </c>
      <c r="C43" s="130">
        <f t="shared" si="7"/>
        <v>46.847610265994597</v>
      </c>
      <c r="D43" s="130">
        <f t="shared" si="16"/>
        <v>31.916193087857046</v>
      </c>
      <c r="E43" s="63">
        <v>1</v>
      </c>
      <c r="F43" s="68">
        <f t="shared" si="2"/>
        <v>7.5</v>
      </c>
      <c r="G43" s="67">
        <f t="shared" si="3"/>
        <v>0</v>
      </c>
      <c r="H43" s="31" t="s">
        <v>261</v>
      </c>
      <c r="I43" s="39">
        <f t="shared" si="4"/>
        <v>170.05959383488806</v>
      </c>
      <c r="J43" s="39">
        <f t="shared" si="5"/>
        <v>170.05959383488806</v>
      </c>
      <c r="K43" s="39">
        <f t="shared" si="17"/>
        <v>66.474091516452518</v>
      </c>
      <c r="L43" s="31">
        <f t="shared" si="13"/>
        <v>0.19004022259531445</v>
      </c>
      <c r="M43" s="31">
        <f t="shared" si="14"/>
        <v>12.632751148607941</v>
      </c>
      <c r="N43" s="32"/>
    </row>
    <row r="44" spans="1:14">
      <c r="A44" s="53" t="s">
        <v>149</v>
      </c>
      <c r="B44" s="62"/>
      <c r="C44" s="62"/>
      <c r="D44" s="62"/>
      <c r="E44" s="54"/>
      <c r="F44" s="54"/>
      <c r="G44" s="36"/>
      <c r="H44" s="36"/>
      <c r="I44" s="61"/>
      <c r="J44" s="121"/>
      <c r="K44" s="60">
        <f>SUM(K23:K43)</f>
        <v>2308.6099036684868</v>
      </c>
      <c r="L44" s="59"/>
      <c r="M44" s="58">
        <f>SUM(M24:M43)</f>
        <v>9207.2706444399282</v>
      </c>
      <c r="N44" s="37">
        <f>M44/K44</f>
        <v>3.9882314590304553</v>
      </c>
    </row>
  </sheetData>
  <pageMargins left="0.7" right="0.7" top="0.75" bottom="0.75" header="0.3" footer="0.3"/>
  <pageSetup paperSize="3" orientation="landscape" r:id="rId1"/>
  <headerFooter>
    <oddFooter>&amp;LSEE PRICIPLES OF GEOTECH 2ND EDITION BYBRAJA M. DAS 9.14 PAGE 414</oddFooter>
  </headerFooter>
  <rowBreaks count="1" manualBreakCount="1">
    <brk id="19" max="16383" man="1"/>
  </rowBreaks>
  <drawing r:id="rId2"/>
</worksheet>
</file>

<file path=xl/worksheets/sheet4.xml><?xml version="1.0" encoding="utf-8"?>
<worksheet xmlns="http://schemas.openxmlformats.org/spreadsheetml/2006/main" xmlns:r="http://schemas.openxmlformats.org/officeDocument/2006/relationships">
  <dimension ref="A1:N52"/>
  <sheetViews>
    <sheetView topLeftCell="A13" zoomScale="85" zoomScaleNormal="85" workbookViewId="0">
      <selection activeCell="A31" sqref="A31:D31"/>
    </sheetView>
  </sheetViews>
  <sheetFormatPr defaultRowHeight="15"/>
  <cols>
    <col min="1" max="1" width="22.7109375" style="1" customWidth="1"/>
    <col min="2" max="4" width="14.5703125" style="57" customWidth="1"/>
    <col min="5" max="6" width="12.140625" style="1" customWidth="1"/>
    <col min="8" max="8" width="6.42578125" customWidth="1"/>
    <col min="9" max="10" width="10.5703125" customWidth="1"/>
    <col min="11" max="11" width="9.85546875" customWidth="1"/>
    <col min="12" max="12" width="12.140625" customWidth="1"/>
    <col min="13" max="13" width="11.5703125" customWidth="1"/>
    <col min="14" max="14" width="15.5703125" customWidth="1"/>
  </cols>
  <sheetData>
    <row r="1" spans="1:12" ht="23.25" customHeight="1">
      <c r="A1" s="135" t="s">
        <v>148</v>
      </c>
      <c r="B1" s="131"/>
      <c r="C1" s="47"/>
      <c r="D1" s="132"/>
      <c r="E1"/>
      <c r="F1"/>
    </row>
    <row r="2" spans="1:12" ht="15" customHeight="1">
      <c r="A2" s="136" t="s">
        <v>143</v>
      </c>
      <c r="B2" s="63"/>
      <c r="C2" s="38"/>
      <c r="D2" s="48"/>
      <c r="E2" s="162" t="s">
        <v>300</v>
      </c>
      <c r="F2" s="163"/>
      <c r="G2" s="163"/>
      <c r="H2" s="163"/>
      <c r="I2" s="163"/>
      <c r="J2" s="163"/>
      <c r="K2" s="163"/>
      <c r="L2" s="163"/>
    </row>
    <row r="3" spans="1:12" ht="24" customHeight="1">
      <c r="A3" s="33"/>
      <c r="B3" s="63"/>
      <c r="C3" s="38"/>
      <c r="D3" s="48"/>
      <c r="E3" s="162"/>
      <c r="F3" s="163"/>
      <c r="G3" s="163"/>
      <c r="H3" s="163"/>
      <c r="I3" s="163"/>
      <c r="J3" s="163"/>
      <c r="K3" s="163"/>
      <c r="L3" s="163"/>
    </row>
    <row r="4" spans="1:12" ht="24" customHeight="1">
      <c r="A4" s="155" t="s">
        <v>301</v>
      </c>
      <c r="B4" s="63"/>
      <c r="C4" s="38"/>
      <c r="D4" s="48"/>
      <c r="E4" s="162"/>
      <c r="F4" s="163"/>
      <c r="G4" s="163"/>
      <c r="H4" s="163"/>
      <c r="I4" s="163"/>
      <c r="J4" s="163"/>
      <c r="K4" s="163"/>
      <c r="L4" s="163"/>
    </row>
    <row r="5" spans="1:12" ht="19.5" customHeight="1">
      <c r="A5" s="33" t="s">
        <v>299</v>
      </c>
      <c r="B5" s="63">
        <v>2118</v>
      </c>
      <c r="C5" s="38" t="s">
        <v>1</v>
      </c>
      <c r="D5" s="48"/>
      <c r="E5" s="162"/>
      <c r="F5" s="163"/>
      <c r="G5" s="163"/>
      <c r="H5" s="163"/>
      <c r="I5" s="163"/>
      <c r="J5" s="163"/>
      <c r="K5" s="163"/>
      <c r="L5" s="163"/>
    </row>
    <row r="6" spans="1:12" ht="45">
      <c r="A6" s="33" t="s">
        <v>297</v>
      </c>
      <c r="B6" s="63">
        <v>7.75</v>
      </c>
      <c r="C6" s="38" t="s">
        <v>2</v>
      </c>
      <c r="D6" s="48"/>
      <c r="E6"/>
      <c r="F6"/>
    </row>
    <row r="7" spans="1:12" ht="30">
      <c r="A7" s="33" t="s">
        <v>298</v>
      </c>
      <c r="B7" s="63">
        <v>0</v>
      </c>
      <c r="C7" s="38" t="s">
        <v>2</v>
      </c>
      <c r="D7" s="48"/>
      <c r="E7"/>
      <c r="F7"/>
    </row>
    <row r="8" spans="1:12">
      <c r="A8" s="33" t="s">
        <v>249</v>
      </c>
      <c r="B8" s="57">
        <v>8.5</v>
      </c>
      <c r="C8" s="38" t="s">
        <v>2</v>
      </c>
      <c r="D8" s="48"/>
      <c r="E8"/>
      <c r="F8"/>
    </row>
    <row r="9" spans="1:12" ht="45">
      <c r="A9" s="33" t="s">
        <v>178</v>
      </c>
      <c r="B9" s="63">
        <v>3</v>
      </c>
      <c r="C9" s="38" t="s">
        <v>2</v>
      </c>
      <c r="D9" s="48"/>
      <c r="E9"/>
      <c r="F9"/>
    </row>
    <row r="10" spans="1:12" ht="30">
      <c r="A10" s="33" t="s">
        <v>289</v>
      </c>
      <c r="B10" s="63">
        <v>0.5</v>
      </c>
      <c r="C10" s="38"/>
      <c r="D10" s="48"/>
      <c r="E10" s="38" t="s">
        <v>291</v>
      </c>
      <c r="F10"/>
    </row>
    <row r="11" spans="1:12" ht="60">
      <c r="A11" s="33" t="s">
        <v>275</v>
      </c>
      <c r="B11" s="63">
        <v>2</v>
      </c>
      <c r="C11" s="38"/>
      <c r="D11" s="48"/>
      <c r="E11"/>
      <c r="F11"/>
    </row>
    <row r="12" spans="1:12" ht="30">
      <c r="A12" s="155" t="s">
        <v>292</v>
      </c>
      <c r="C12" s="38"/>
      <c r="D12" s="48"/>
      <c r="E12"/>
      <c r="F12"/>
    </row>
    <row r="13" spans="1:12">
      <c r="A13" s="52" t="s">
        <v>294</v>
      </c>
      <c r="B13" s="63">
        <f>x_qi+2*MIN(y_1*Sq,x_1i)</f>
        <v>8.5</v>
      </c>
      <c r="C13" s="38" t="s">
        <v>2</v>
      </c>
      <c r="D13" s="48"/>
      <c r="E13"/>
      <c r="F13"/>
    </row>
    <row r="14" spans="1:12" ht="15.75" customHeight="1">
      <c r="A14" s="52" t="s">
        <v>293</v>
      </c>
      <c r="B14" s="63">
        <f>x_1i-y_1*Sq</f>
        <v>7.75</v>
      </c>
      <c r="C14" s="38" t="s">
        <v>2</v>
      </c>
      <c r="D14" s="48"/>
      <c r="E14"/>
      <c r="F14"/>
    </row>
    <row r="15" spans="1:12" ht="15.75" customHeight="1">
      <c r="A15" s="52" t="s">
        <v>295</v>
      </c>
      <c r="B15" s="63">
        <f>qi*x_qi/x_qbs</f>
        <v>2118</v>
      </c>
      <c r="C15" s="38" t="s">
        <v>1</v>
      </c>
      <c r="D15" s="48"/>
      <c r="E15"/>
      <c r="F15"/>
    </row>
    <row r="16" spans="1:12">
      <c r="A16" s="52" t="s">
        <v>296</v>
      </c>
      <c r="B16" s="63" t="str">
        <f>IF(x_1i&lt;H*Sq,"load intersects above wall", "OK")</f>
        <v>OK</v>
      </c>
      <c r="C16" s="38"/>
      <c r="D16" s="48"/>
      <c r="E16"/>
      <c r="F16"/>
    </row>
    <row r="17" spans="1:14">
      <c r="A17" s="33"/>
      <c r="B17" s="63"/>
      <c r="C17" s="38"/>
      <c r="D17" s="48"/>
      <c r="E17"/>
      <c r="F17"/>
    </row>
    <row r="18" spans="1:14">
      <c r="A18" s="136" t="s">
        <v>247</v>
      </c>
      <c r="B18" s="63"/>
      <c r="C18" s="63"/>
      <c r="D18" s="48"/>
      <c r="E18"/>
      <c r="F18"/>
    </row>
    <row r="19" spans="1:14" ht="30">
      <c r="A19" s="35" t="s">
        <v>177</v>
      </c>
      <c r="B19" s="63">
        <f>B14</f>
        <v>7.75</v>
      </c>
      <c r="C19" s="63"/>
      <c r="D19" s="48"/>
      <c r="E19"/>
      <c r="F19"/>
    </row>
    <row r="20" spans="1:14" ht="30">
      <c r="A20" s="35" t="s">
        <v>176</v>
      </c>
      <c r="B20" s="63">
        <f>B14+B13</f>
        <v>16.25</v>
      </c>
      <c r="C20" s="63"/>
      <c r="D20" s="48"/>
      <c r="E20"/>
      <c r="F20"/>
    </row>
    <row r="21" spans="1:14">
      <c r="A21" s="35" t="s">
        <v>246</v>
      </c>
      <c r="B21" s="63">
        <f>DEGREES(ATAN(B14/B9))</f>
        <v>68.838740183171723</v>
      </c>
      <c r="C21" s="38" t="s">
        <v>174</v>
      </c>
      <c r="D21" s="48"/>
      <c r="E21"/>
      <c r="F21"/>
    </row>
    <row r="22" spans="1:14">
      <c r="A22" s="35" t="s">
        <v>175</v>
      </c>
      <c r="B22" s="63">
        <f>DEGREES(ATAN((B14+B13)/B9))</f>
        <v>79.540090907070876</v>
      </c>
      <c r="C22" s="38" t="s">
        <v>174</v>
      </c>
      <c r="D22" s="48"/>
      <c r="E22"/>
      <c r="F22"/>
    </row>
    <row r="23" spans="1:14" ht="30">
      <c r="A23" s="137" t="s">
        <v>173</v>
      </c>
      <c r="B23" s="63">
        <f>(B15/90)*(B9*(B22-B21))</f>
        <v>755.51536110728034</v>
      </c>
      <c r="C23" s="38" t="s">
        <v>144</v>
      </c>
      <c r="D23" s="48" t="s">
        <v>172</v>
      </c>
      <c r="E23"/>
      <c r="F23"/>
    </row>
    <row r="24" spans="1:14">
      <c r="A24" s="137"/>
      <c r="B24" s="63"/>
      <c r="C24" s="38"/>
      <c r="D24" s="48"/>
      <c r="E24"/>
      <c r="F24"/>
    </row>
    <row r="25" spans="1:14">
      <c r="A25" s="137" t="s">
        <v>276</v>
      </c>
      <c r="B25" s="63">
        <f>K52</f>
        <v>755.3765550969772</v>
      </c>
      <c r="C25" s="38" t="s">
        <v>144</v>
      </c>
      <c r="D25" s="48"/>
      <c r="E25"/>
      <c r="F25"/>
    </row>
    <row r="26" spans="1:14" ht="30">
      <c r="A26" s="133" t="s">
        <v>170</v>
      </c>
      <c r="B26" s="62">
        <f>N52</f>
        <v>1.0323029849818981</v>
      </c>
      <c r="C26" s="54" t="s">
        <v>2</v>
      </c>
      <c r="D26" s="134"/>
      <c r="E26"/>
      <c r="F26"/>
    </row>
    <row r="27" spans="1:14" ht="16.5" customHeight="1">
      <c r="A27" s="161" t="s">
        <v>290</v>
      </c>
      <c r="B27" s="161"/>
      <c r="C27" s="161"/>
    </row>
    <row r="30" spans="1:14" s="142" customFormat="1" ht="45">
      <c r="A30" s="138" t="s">
        <v>169</v>
      </c>
      <c r="B30" s="70" t="s">
        <v>167</v>
      </c>
      <c r="C30" s="70" t="s">
        <v>168</v>
      </c>
      <c r="D30" s="70" t="s">
        <v>250</v>
      </c>
      <c r="E30" s="70" t="s">
        <v>166</v>
      </c>
      <c r="F30" s="70" t="s">
        <v>165</v>
      </c>
      <c r="G30" s="70" t="s">
        <v>164</v>
      </c>
      <c r="H30" s="70"/>
      <c r="I30" s="139" t="s">
        <v>251</v>
      </c>
      <c r="J30" s="143" t="s">
        <v>288</v>
      </c>
      <c r="K30" s="139" t="s">
        <v>5</v>
      </c>
      <c r="L30" s="140" t="s">
        <v>163</v>
      </c>
      <c r="M30" s="140" t="s">
        <v>162</v>
      </c>
      <c r="N30" s="141" t="s">
        <v>161</v>
      </c>
    </row>
    <row r="31" spans="1:14">
      <c r="A31" s="127">
        <v>90</v>
      </c>
      <c r="B31" s="130">
        <f t="shared" ref="B31" si="0">A31+D31/2</f>
        <v>90</v>
      </c>
      <c r="C31" s="128">
        <v>90</v>
      </c>
      <c r="D31" s="130">
        <f t="shared" ref="D31" si="1">C31-A31</f>
        <v>0</v>
      </c>
      <c r="E31" s="68">
        <v>0</v>
      </c>
      <c r="F31" s="68">
        <f t="shared" ref="F31:F51" si="2">E31*H</f>
        <v>0</v>
      </c>
      <c r="G31" s="67">
        <f t="shared" ref="G31:G51" si="3">H-F31</f>
        <v>3</v>
      </c>
      <c r="H31" s="66" t="s">
        <v>160</v>
      </c>
      <c r="I31" s="39">
        <f t="shared" ref="I31:I51" si="4">K*q/PI()*(RADIANS(D31)-SIN(RADIANS(D31))*COS(RADIANS(2*B31)))</f>
        <v>0</v>
      </c>
      <c r="J31" s="39">
        <f t="shared" ref="J31:J51" si="5">K*q/PI()*(RADIANS(D31)-SIN(RADIANS(D31))*COS(RADIANS(D31+2*A31)))</f>
        <v>0</v>
      </c>
      <c r="K31" s="67">
        <v>0</v>
      </c>
      <c r="L31" s="67">
        <f>G31-F31</f>
        <v>3</v>
      </c>
      <c r="M31" s="66"/>
      <c r="N31" s="65"/>
    </row>
    <row r="32" spans="1:14">
      <c r="A32" s="129">
        <f t="shared" ref="A32:A51" si="6">DEGREES(ATAN(x_1/F32))</f>
        <v>88.891187872240081</v>
      </c>
      <c r="B32" s="130">
        <f t="shared" ref="B32:B51" si="7">A32+D32/2</f>
        <v>89.181159387225307</v>
      </c>
      <c r="C32" s="130">
        <f t="shared" ref="C32:C51" si="8">DEGREES(ATAN(x_2/F32))</f>
        <v>89.471130902210547</v>
      </c>
      <c r="D32" s="130">
        <f t="shared" ref="D32:D51" si="9">C32-A32</f>
        <v>0.57994302997046532</v>
      </c>
      <c r="E32" s="63">
        <v>0.05</v>
      </c>
      <c r="F32" s="68">
        <f t="shared" si="2"/>
        <v>0.15000000000000002</v>
      </c>
      <c r="G32" s="67">
        <f t="shared" si="3"/>
        <v>2.85</v>
      </c>
      <c r="H32" s="31" t="s">
        <v>159</v>
      </c>
      <c r="I32" s="39">
        <f t="shared" si="4"/>
        <v>27.290177611689508</v>
      </c>
      <c r="J32" s="39">
        <f t="shared" si="5"/>
        <v>27.290177611689508</v>
      </c>
      <c r="K32" s="39">
        <f t="shared" ref="K32:K51" si="10">((I32+I31)/2)*(G31-G32)</f>
        <v>2.0467633208767118</v>
      </c>
      <c r="L32" s="31">
        <f t="shared" ref="L32:L51" si="11">G31-((F32-F31)*(2*I32+I31))/(3*(I32+I31))</f>
        <v>2.9</v>
      </c>
      <c r="M32" s="31">
        <f t="shared" ref="M32:M51" si="12">K32*L32</f>
        <v>5.9356136305424636</v>
      </c>
      <c r="N32" s="32"/>
    </row>
    <row r="33" spans="1:14">
      <c r="A33" s="129">
        <f t="shared" si="6"/>
        <v>87.783205659259821</v>
      </c>
      <c r="B33" s="130">
        <f t="shared" si="7"/>
        <v>88.362778785006199</v>
      </c>
      <c r="C33" s="130">
        <f t="shared" si="8"/>
        <v>88.942351910752578</v>
      </c>
      <c r="D33" s="130">
        <f t="shared" si="9"/>
        <v>1.1591462514927571</v>
      </c>
      <c r="E33" s="63">
        <v>0.1</v>
      </c>
      <c r="F33" s="68">
        <f t="shared" si="2"/>
        <v>0.30000000000000004</v>
      </c>
      <c r="G33" s="67">
        <f t="shared" si="3"/>
        <v>2.7</v>
      </c>
      <c r="H33" s="31" t="s">
        <v>158</v>
      </c>
      <c r="I33" s="39">
        <f t="shared" si="4"/>
        <v>54.510757353299553</v>
      </c>
      <c r="J33" s="39">
        <f t="shared" si="5"/>
        <v>54.510757353299553</v>
      </c>
      <c r="K33" s="39">
        <f t="shared" si="10"/>
        <v>6.1350701223741764</v>
      </c>
      <c r="L33" s="31">
        <f t="shared" si="11"/>
        <v>2.7666808469997135</v>
      </c>
      <c r="M33" s="31">
        <f t="shared" si="12"/>
        <v>16.973781002572821</v>
      </c>
      <c r="N33" s="32"/>
    </row>
    <row r="34" spans="1:14">
      <c r="A34" s="129">
        <f t="shared" si="6"/>
        <v>86.676879554864556</v>
      </c>
      <c r="B34" s="130">
        <f t="shared" si="7"/>
        <v>87.545316297372338</v>
      </c>
      <c r="C34" s="130">
        <f t="shared" si="8"/>
        <v>88.41375303988012</v>
      </c>
      <c r="D34" s="130">
        <f t="shared" si="9"/>
        <v>1.7368734850155647</v>
      </c>
      <c r="E34" s="68">
        <v>0.15</v>
      </c>
      <c r="F34" s="68">
        <f t="shared" si="2"/>
        <v>0.44999999999999996</v>
      </c>
      <c r="G34" s="67">
        <f t="shared" si="3"/>
        <v>2.5499999999999998</v>
      </c>
      <c r="H34" s="31" t="s">
        <v>157</v>
      </c>
      <c r="I34" s="39">
        <f t="shared" si="4"/>
        <v>81.592653104161272</v>
      </c>
      <c r="J34" s="39">
        <f t="shared" si="5"/>
        <v>81.592653104161272</v>
      </c>
      <c r="K34" s="39">
        <f t="shared" si="10"/>
        <v>10.207755784309587</v>
      </c>
      <c r="L34" s="31">
        <f t="shared" si="11"/>
        <v>2.6200254928109747</v>
      </c>
      <c r="M34" s="31">
        <f t="shared" si="12"/>
        <v>26.744580379279803</v>
      </c>
      <c r="N34" s="32"/>
    </row>
    <row r="35" spans="1:14">
      <c r="A35" s="129">
        <f t="shared" si="6"/>
        <v>85.573028352520609</v>
      </c>
      <c r="B35" s="130">
        <f t="shared" si="7"/>
        <v>86.72922623622398</v>
      </c>
      <c r="C35" s="130">
        <f t="shared" si="8"/>
        <v>87.88542411992735</v>
      </c>
      <c r="D35" s="130">
        <f t="shared" si="9"/>
        <v>2.3123957674067412</v>
      </c>
      <c r="E35" s="63">
        <v>0.2</v>
      </c>
      <c r="F35" s="68">
        <f t="shared" si="2"/>
        <v>0.60000000000000009</v>
      </c>
      <c r="G35" s="67">
        <f t="shared" si="3"/>
        <v>2.4</v>
      </c>
      <c r="H35" s="31" t="s">
        <v>156</v>
      </c>
      <c r="I35" s="39">
        <f t="shared" si="4"/>
        <v>108.46779447001131</v>
      </c>
      <c r="J35" s="39">
        <f t="shared" si="5"/>
        <v>108.46779447001131</v>
      </c>
      <c r="K35" s="39">
        <f t="shared" si="10"/>
        <v>14.254533568062936</v>
      </c>
      <c r="L35" s="31">
        <f t="shared" si="11"/>
        <v>2.4714649218565894</v>
      </c>
      <c r="M35" s="31">
        <f t="shared" si="12"/>
        <v>35.229579690894795</v>
      </c>
      <c r="N35" s="32"/>
    </row>
    <row r="36" spans="1:14">
      <c r="A36" s="129">
        <f t="shared" si="6"/>
        <v>84.472459848343831</v>
      </c>
      <c r="B36" s="130">
        <f t="shared" si="7"/>
        <v>85.914957277139564</v>
      </c>
      <c r="C36" s="130">
        <f t="shared" si="8"/>
        <v>87.357454705935282</v>
      </c>
      <c r="D36" s="130">
        <f t="shared" si="9"/>
        <v>2.884994857591451</v>
      </c>
      <c r="E36" s="63">
        <v>0.25</v>
      </c>
      <c r="F36" s="68">
        <f t="shared" si="2"/>
        <v>0.75</v>
      </c>
      <c r="G36" s="67">
        <f t="shared" si="3"/>
        <v>2.25</v>
      </c>
      <c r="H36" s="31" t="s">
        <v>155</v>
      </c>
      <c r="I36" s="39">
        <f t="shared" si="4"/>
        <v>135.06961541798751</v>
      </c>
      <c r="J36" s="39">
        <f t="shared" si="5"/>
        <v>135.06961541798751</v>
      </c>
      <c r="K36" s="39">
        <f t="shared" si="10"/>
        <v>18.265305741599899</v>
      </c>
      <c r="L36" s="31">
        <f t="shared" si="11"/>
        <v>2.3222692264239599</v>
      </c>
      <c r="M36" s="31">
        <f t="shared" si="12"/>
        <v>42.416957434942312</v>
      </c>
      <c r="N36" s="32"/>
    </row>
    <row r="37" spans="1:14">
      <c r="A37" s="129">
        <f t="shared" si="6"/>
        <v>83.375967365482495</v>
      </c>
      <c r="B37" s="130">
        <f t="shared" si="7"/>
        <v>85.102950676230961</v>
      </c>
      <c r="C37" s="130">
        <f t="shared" si="8"/>
        <v>86.829933986979412</v>
      </c>
      <c r="D37" s="130">
        <f t="shared" si="9"/>
        <v>3.4539666214969174</v>
      </c>
      <c r="E37" s="68">
        <v>0.3</v>
      </c>
      <c r="F37" s="68">
        <f t="shared" si="2"/>
        <v>0.89999999999999991</v>
      </c>
      <c r="G37" s="67">
        <f t="shared" si="3"/>
        <v>2.1</v>
      </c>
      <c r="H37" s="31" t="s">
        <v>154</v>
      </c>
      <c r="I37" s="39">
        <f t="shared" si="4"/>
        <v>161.33352039756346</v>
      </c>
      <c r="J37" s="39">
        <f t="shared" si="5"/>
        <v>161.33352039756346</v>
      </c>
      <c r="K37" s="39">
        <f t="shared" si="10"/>
        <v>22.230235186166308</v>
      </c>
      <c r="L37" s="31">
        <f t="shared" si="11"/>
        <v>2.1727847817882129</v>
      </c>
      <c r="M37" s="31">
        <f t="shared" si="12"/>
        <v>48.301516708075013</v>
      </c>
      <c r="N37" s="32"/>
    </row>
    <row r="38" spans="1:14">
      <c r="A38" s="129">
        <f t="shared" si="6"/>
        <v>82.284326436451536</v>
      </c>
      <c r="B38" s="130">
        <f t="shared" si="7"/>
        <v>84.293638566438972</v>
      </c>
      <c r="C38" s="130">
        <f t="shared" si="8"/>
        <v>86.302950696426407</v>
      </c>
      <c r="D38" s="130">
        <f t="shared" si="9"/>
        <v>4.0186242599748709</v>
      </c>
      <c r="E38" s="63">
        <v>0.35</v>
      </c>
      <c r="F38" s="68">
        <f t="shared" si="2"/>
        <v>1.0499999999999998</v>
      </c>
      <c r="G38" s="67">
        <f t="shared" si="3"/>
        <v>1.9500000000000002</v>
      </c>
      <c r="H38" s="31" t="s">
        <v>153</v>
      </c>
      <c r="I38" s="39">
        <f t="shared" si="4"/>
        <v>187.19732135186561</v>
      </c>
      <c r="J38" s="39">
        <f t="shared" si="5"/>
        <v>187.19732135186561</v>
      </c>
      <c r="K38" s="39">
        <f t="shared" si="10"/>
        <v>26.139813131207166</v>
      </c>
      <c r="L38" s="31">
        <f t="shared" si="11"/>
        <v>2.023144798260573</v>
      </c>
      <c r="M38" s="31">
        <f t="shared" si="12"/>
        <v>52.884626963905198</v>
      </c>
      <c r="N38" s="32"/>
    </row>
    <row r="39" spans="1:14">
      <c r="A39" s="129">
        <f t="shared" si="6"/>
        <v>81.198291676792195</v>
      </c>
      <c r="B39" s="130">
        <f t="shared" si="7"/>
        <v>83.487442350068278</v>
      </c>
      <c r="C39" s="130">
        <f t="shared" si="8"/>
        <v>85.776593023344361</v>
      </c>
      <c r="D39" s="130">
        <f t="shared" si="9"/>
        <v>4.5783013465521663</v>
      </c>
      <c r="E39" s="63">
        <v>0.4</v>
      </c>
      <c r="F39" s="68">
        <f t="shared" si="2"/>
        <v>1.2000000000000002</v>
      </c>
      <c r="G39" s="67">
        <f t="shared" si="3"/>
        <v>1.7999999999999998</v>
      </c>
      <c r="H39" s="31" t="s">
        <v>152</v>
      </c>
      <c r="I39" s="39">
        <f t="shared" si="4"/>
        <v>212.60163975679077</v>
      </c>
      <c r="J39" s="39">
        <f t="shared" si="5"/>
        <v>212.60163975679077</v>
      </c>
      <c r="K39" s="39">
        <f t="shared" si="10"/>
        <v>29.9849220831493</v>
      </c>
      <c r="L39" s="31">
        <f t="shared" si="11"/>
        <v>1.8734114316896624</v>
      </c>
      <c r="M39" s="31">
        <f t="shared" si="12"/>
        <v>56.174095808895707</v>
      </c>
      <c r="N39" s="32"/>
    </row>
    <row r="40" spans="1:14">
      <c r="A40" s="129">
        <f t="shared" si="6"/>
        <v>80.118593879649794</v>
      </c>
      <c r="B40" s="130">
        <f t="shared" si="7"/>
        <v>82.684771202467232</v>
      </c>
      <c r="C40" s="130">
        <f t="shared" si="8"/>
        <v>85.250948525284684</v>
      </c>
      <c r="D40" s="130">
        <f t="shared" si="9"/>
        <v>5.1323546456348907</v>
      </c>
      <c r="E40" s="68">
        <v>0.45</v>
      </c>
      <c r="F40" s="68">
        <f t="shared" si="2"/>
        <v>1.35</v>
      </c>
      <c r="G40" s="67">
        <f t="shared" si="3"/>
        <v>1.65</v>
      </c>
      <c r="H40" s="31" t="s">
        <v>151</v>
      </c>
      <c r="I40" s="39">
        <f t="shared" si="4"/>
        <v>237.49026868667517</v>
      </c>
      <c r="J40" s="39">
        <f t="shared" si="5"/>
        <v>237.49026868667517</v>
      </c>
      <c r="K40" s="39">
        <f t="shared" si="10"/>
        <v>33.756893133259929</v>
      </c>
      <c r="L40" s="31">
        <f t="shared" si="11"/>
        <v>1.7236175807394563</v>
      </c>
      <c r="M40" s="31">
        <f t="shared" si="12"/>
        <v>58.183974475629846</v>
      </c>
      <c r="N40" s="32"/>
    </row>
    <row r="41" spans="1:14">
      <c r="A41" s="129">
        <f t="shared" si="6"/>
        <v>79.045937356601669</v>
      </c>
      <c r="B41" s="130">
        <f t="shared" si="7"/>
        <v>81.88602069962495</v>
      </c>
      <c r="C41" s="130">
        <f t="shared" si="8"/>
        <v>84.726104042648231</v>
      </c>
      <c r="D41" s="130">
        <f t="shared" si="9"/>
        <v>5.6801666860465616</v>
      </c>
      <c r="E41" s="63">
        <v>0.5</v>
      </c>
      <c r="F41" s="68">
        <f t="shared" si="2"/>
        <v>1.5</v>
      </c>
      <c r="G41" s="67">
        <f t="shared" si="3"/>
        <v>1.5</v>
      </c>
      <c r="H41" s="31" t="s">
        <v>150</v>
      </c>
      <c r="I41" s="39">
        <f t="shared" si="4"/>
        <v>261.81049086304932</v>
      </c>
      <c r="J41" s="39">
        <f t="shared" si="5"/>
        <v>261.81049086304932</v>
      </c>
      <c r="K41" s="39">
        <f t="shared" si="10"/>
        <v>37.447556966229314</v>
      </c>
      <c r="L41" s="31">
        <f t="shared" si="11"/>
        <v>1.573782285941328</v>
      </c>
      <c r="M41" s="31">
        <f t="shared" si="12"/>
        <v>58.934301805230469</v>
      </c>
      <c r="N41" s="32"/>
    </row>
    <row r="42" spans="1:14">
      <c r="A42" s="129">
        <f t="shared" si="6"/>
        <v>77.98099754545548</v>
      </c>
      <c r="B42" s="130">
        <f t="shared" si="7"/>
        <v>81.091571580147914</v>
      </c>
      <c r="C42" s="130">
        <f t="shared" si="8"/>
        <v>84.202145614840347</v>
      </c>
      <c r="D42" s="130">
        <f t="shared" si="9"/>
        <v>6.2211480693848671</v>
      </c>
      <c r="E42" s="63">
        <v>0.55000000000000004</v>
      </c>
      <c r="F42" s="68">
        <f t="shared" si="2"/>
        <v>1.6500000000000001</v>
      </c>
      <c r="G42" s="67">
        <f t="shared" si="3"/>
        <v>1.3499999999999999</v>
      </c>
      <c r="H42" s="31" t="s">
        <v>252</v>
      </c>
      <c r="I42" s="39">
        <f t="shared" si="4"/>
        <v>285.51334966271315</v>
      </c>
      <c r="J42" s="39">
        <f t="shared" si="5"/>
        <v>285.51334966271315</v>
      </c>
      <c r="K42" s="39">
        <f t="shared" si="10"/>
        <v>41.049288039432227</v>
      </c>
      <c r="L42" s="31">
        <f t="shared" si="11"/>
        <v>1.423917329328424</v>
      </c>
      <c r="M42" s="31">
        <f t="shared" si="12"/>
        <v>58.45079259594155</v>
      </c>
      <c r="N42" s="32"/>
    </row>
    <row r="43" spans="1:14">
      <c r="A43" s="129">
        <f t="shared" si="6"/>
        <v>76.924418900910126</v>
      </c>
      <c r="B43" s="130">
        <f t="shared" si="7"/>
        <v>80.301788649660651</v>
      </c>
      <c r="C43" s="130">
        <f t="shared" si="8"/>
        <v>83.679158398411175</v>
      </c>
      <c r="D43" s="130">
        <f t="shared" si="9"/>
        <v>6.7547394975010491</v>
      </c>
      <c r="E43" s="68">
        <v>0.6</v>
      </c>
      <c r="F43" s="68">
        <f t="shared" si="2"/>
        <v>1.7999999999999998</v>
      </c>
      <c r="G43" s="67">
        <f t="shared" si="3"/>
        <v>1.2000000000000002</v>
      </c>
      <c r="H43" s="31" t="s">
        <v>253</v>
      </c>
      <c r="I43" s="39">
        <f t="shared" si="4"/>
        <v>308.55387110802326</v>
      </c>
      <c r="J43" s="39">
        <f t="shared" si="5"/>
        <v>308.55387110802326</v>
      </c>
      <c r="K43" s="39">
        <f t="shared" si="10"/>
        <v>44.55504155780514</v>
      </c>
      <c r="L43" s="31">
        <f t="shared" si="11"/>
        <v>1.2740303908110173</v>
      </c>
      <c r="M43" s="31">
        <f t="shared" si="12"/>
        <v>56.764477008491603</v>
      </c>
      <c r="N43" s="32"/>
    </row>
    <row r="44" spans="1:14">
      <c r="A44" s="129">
        <f t="shared" si="6"/>
        <v>75.876813079060412</v>
      </c>
      <c r="B44" s="130">
        <f t="shared" si="7"/>
        <v>79.517019833214732</v>
      </c>
      <c r="C44" s="130">
        <f t="shared" si="8"/>
        <v>83.157226587369067</v>
      </c>
      <c r="D44" s="130">
        <f t="shared" si="9"/>
        <v>7.280413508308655</v>
      </c>
      <c r="E44" s="63">
        <v>0.65</v>
      </c>
      <c r="F44" s="68">
        <f t="shared" si="2"/>
        <v>1.9500000000000002</v>
      </c>
      <c r="G44" s="67">
        <f t="shared" si="3"/>
        <v>1.0499999999999998</v>
      </c>
      <c r="H44" s="31" t="s">
        <v>254</v>
      </c>
      <c r="I44" s="39">
        <f t="shared" si="4"/>
        <v>330.8912359019115</v>
      </c>
      <c r="J44" s="39">
        <f t="shared" si="5"/>
        <v>330.8912359019115</v>
      </c>
      <c r="K44" s="39">
        <f t="shared" si="10"/>
        <v>47.958383025745221</v>
      </c>
      <c r="L44" s="31">
        <f t="shared" si="11"/>
        <v>1.1241266895098181</v>
      </c>
      <c r="M44" s="31">
        <f t="shared" si="12"/>
        <v>53.911298344974831</v>
      </c>
      <c r="N44" s="32"/>
    </row>
    <row r="45" spans="1:14">
      <c r="A45" s="129">
        <f t="shared" si="6"/>
        <v>74.838757421862013</v>
      </c>
      <c r="B45" s="130">
        <f t="shared" si="7"/>
        <v>78.737595378853129</v>
      </c>
      <c r="C45" s="130">
        <f t="shared" si="8"/>
        <v>82.636433335844245</v>
      </c>
      <c r="D45" s="130">
        <f t="shared" si="9"/>
        <v>7.797675913982232</v>
      </c>
      <c r="E45" s="63">
        <v>0.7</v>
      </c>
      <c r="F45" s="68">
        <f t="shared" si="2"/>
        <v>2.0999999999999996</v>
      </c>
      <c r="G45" s="67">
        <f t="shared" si="3"/>
        <v>0.90000000000000036</v>
      </c>
      <c r="H45" s="31" t="s">
        <v>255</v>
      </c>
      <c r="I45" s="39">
        <f t="shared" si="4"/>
        <v>352.48890157108042</v>
      </c>
      <c r="J45" s="39">
        <f t="shared" si="5"/>
        <v>352.48890157108042</v>
      </c>
      <c r="K45" s="39">
        <f t="shared" si="10"/>
        <v>51.253510310474212</v>
      </c>
      <c r="L45" s="31">
        <f t="shared" si="11"/>
        <v>0.97420989561720983</v>
      </c>
      <c r="M45" s="31">
        <f t="shared" si="12"/>
        <v>49.931676929582672</v>
      </c>
      <c r="N45" s="32"/>
    </row>
    <row r="46" spans="1:14">
      <c r="A46" s="129">
        <f t="shared" si="6"/>
        <v>73.810793742973061</v>
      </c>
      <c r="B46" s="130">
        <f t="shared" si="7"/>
        <v>77.963827213121675</v>
      </c>
      <c r="C46" s="130">
        <f t="shared" si="8"/>
        <v>82.116860683270275</v>
      </c>
      <c r="D46" s="130">
        <f t="shared" si="9"/>
        <v>8.3060669402972138</v>
      </c>
      <c r="E46" s="68">
        <v>0.75</v>
      </c>
      <c r="F46" s="68">
        <f t="shared" si="2"/>
        <v>2.25</v>
      </c>
      <c r="G46" s="67">
        <f t="shared" si="3"/>
        <v>0.75</v>
      </c>
      <c r="H46" s="31" t="s">
        <v>256</v>
      </c>
      <c r="I46" s="39">
        <f t="shared" si="4"/>
        <v>373.31467571539855</v>
      </c>
      <c r="J46" s="39">
        <f t="shared" si="5"/>
        <v>373.31467571539855</v>
      </c>
      <c r="K46" s="39">
        <f t="shared" si="10"/>
        <v>54.435268296486051</v>
      </c>
      <c r="L46" s="31">
        <f t="shared" si="11"/>
        <v>0.82428266493869551</v>
      </c>
      <c r="M46" s="31">
        <f t="shared" si="12"/>
        <v>44.870048018080404</v>
      </c>
      <c r="N46" s="32"/>
    </row>
    <row r="47" spans="1:14">
      <c r="A47" s="129">
        <f t="shared" si="6"/>
        <v>72.793427411958547</v>
      </c>
      <c r="B47" s="130">
        <f t="shared" si="7"/>
        <v>77.196008447098578</v>
      </c>
      <c r="C47" s="130">
        <f t="shared" si="8"/>
        <v>81.598589482238609</v>
      </c>
      <c r="D47" s="130">
        <f t="shared" si="9"/>
        <v>8.8051620702800619</v>
      </c>
      <c r="E47" s="63">
        <v>0.8</v>
      </c>
      <c r="F47" s="68">
        <f t="shared" si="2"/>
        <v>2.4000000000000004</v>
      </c>
      <c r="G47" s="67">
        <f t="shared" si="3"/>
        <v>0.59999999999999964</v>
      </c>
      <c r="H47" s="31" t="s">
        <v>257</v>
      </c>
      <c r="I47" s="39">
        <f t="shared" si="4"/>
        <v>393.34074220636182</v>
      </c>
      <c r="J47" s="39">
        <f t="shared" si="5"/>
        <v>393.34074220636182</v>
      </c>
      <c r="K47" s="39">
        <f t="shared" si="10"/>
        <v>57.49915634413216</v>
      </c>
      <c r="L47" s="31">
        <f t="shared" si="11"/>
        <v>0.6743469665111983</v>
      </c>
      <c r="M47" s="31">
        <f t="shared" si="12"/>
        <v>38.774381657618648</v>
      </c>
      <c r="N47" s="32"/>
    </row>
    <row r="48" spans="1:14">
      <c r="A48" s="129">
        <f t="shared" si="6"/>
        <v>71.787126729771444</v>
      </c>
      <c r="B48" s="130">
        <f t="shared" si="7"/>
        <v>76.434413029471216</v>
      </c>
      <c r="C48" s="130">
        <f t="shared" si="8"/>
        <v>81.081699329170988</v>
      </c>
      <c r="D48" s="130">
        <f t="shared" si="9"/>
        <v>9.2945725993995438</v>
      </c>
      <c r="E48" s="63">
        <v>0.85</v>
      </c>
      <c r="F48" s="68">
        <f t="shared" si="2"/>
        <v>2.5499999999999998</v>
      </c>
      <c r="G48" s="67">
        <f t="shared" si="3"/>
        <v>0.45000000000000018</v>
      </c>
      <c r="H48" s="31" t="s">
        <v>258</v>
      </c>
      <c r="I48" s="39">
        <f t="shared" si="4"/>
        <v>412.54364291490896</v>
      </c>
      <c r="J48" s="39">
        <f t="shared" si="5"/>
        <v>412.54364291490896</v>
      </c>
      <c r="K48" s="39">
        <f t="shared" si="10"/>
        <v>60.441328884095093</v>
      </c>
      <c r="L48" s="31">
        <f t="shared" si="11"/>
        <v>0.52440429107874886</v>
      </c>
      <c r="M48" s="31">
        <f t="shared" si="12"/>
        <v>31.695692225321395</v>
      </c>
      <c r="N48" s="32"/>
    </row>
    <row r="49" spans="1:14">
      <c r="A49" s="129">
        <f t="shared" si="6"/>
        <v>70.792322584781587</v>
      </c>
      <c r="B49" s="130">
        <f t="shared" si="7"/>
        <v>75.679295541361398</v>
      </c>
      <c r="C49" s="130">
        <f t="shared" si="8"/>
        <v>80.566268497941195</v>
      </c>
      <c r="D49" s="130">
        <f t="shared" si="9"/>
        <v>9.7739459131596078</v>
      </c>
      <c r="E49" s="68">
        <v>0.9</v>
      </c>
      <c r="F49" s="68">
        <f t="shared" si="2"/>
        <v>2.7</v>
      </c>
      <c r="G49" s="67">
        <f t="shared" si="3"/>
        <v>0.29999999999999982</v>
      </c>
      <c r="H49" s="31" t="s">
        <v>259</v>
      </c>
      <c r="I49" s="39">
        <f t="shared" si="4"/>
        <v>430.90421816621699</v>
      </c>
      <c r="J49" s="39">
        <f t="shared" si="5"/>
        <v>430.90421816621699</v>
      </c>
      <c r="K49" s="39">
        <f t="shared" si="10"/>
        <v>63.258589581084593</v>
      </c>
      <c r="L49" s="31">
        <f t="shared" si="11"/>
        <v>0.37445578807835928</v>
      </c>
      <c r="M49" s="31">
        <f t="shared" si="12"/>
        <v>23.687545014310519</v>
      </c>
      <c r="N49" s="32"/>
    </row>
    <row r="50" spans="1:14">
      <c r="A50" s="129">
        <f t="shared" si="6"/>
        <v>69.809408375459554</v>
      </c>
      <c r="B50" s="130">
        <f t="shared" si="7"/>
        <v>74.93089112601271</v>
      </c>
      <c r="C50" s="130">
        <f t="shared" si="8"/>
        <v>80.052373876565852</v>
      </c>
      <c r="D50" s="130">
        <f t="shared" si="9"/>
        <v>10.242965501106298</v>
      </c>
      <c r="E50" s="63">
        <v>0.95</v>
      </c>
      <c r="F50" s="68">
        <f t="shared" si="2"/>
        <v>2.8499999999999996</v>
      </c>
      <c r="G50" s="67">
        <f t="shared" si="3"/>
        <v>0.15000000000000036</v>
      </c>
      <c r="H50" s="31" t="s">
        <v>260</v>
      </c>
      <c r="I50" s="39">
        <f t="shared" si="4"/>
        <v>448.40750960968376</v>
      </c>
      <c r="J50" s="39">
        <f t="shared" si="5"/>
        <v>448.40750960968376</v>
      </c>
      <c r="K50" s="39">
        <f t="shared" si="10"/>
        <v>65.94837958319232</v>
      </c>
      <c r="L50" s="31">
        <f t="shared" si="11"/>
        <v>0.22450235818281034</v>
      </c>
      <c r="M50" s="31">
        <f t="shared" si="12"/>
        <v>14.805566734761779</v>
      </c>
      <c r="N50" s="32"/>
    </row>
    <row r="51" spans="1:14">
      <c r="A51" s="129">
        <f t="shared" si="6"/>
        <v>68.838740183171723</v>
      </c>
      <c r="B51" s="130">
        <f t="shared" si="7"/>
        <v>74.189415545121307</v>
      </c>
      <c r="C51" s="130">
        <f t="shared" si="8"/>
        <v>79.540090907070876</v>
      </c>
      <c r="D51" s="130">
        <f t="shared" si="9"/>
        <v>10.701350723899154</v>
      </c>
      <c r="E51" s="63">
        <v>1</v>
      </c>
      <c r="F51" s="68">
        <f t="shared" si="2"/>
        <v>3</v>
      </c>
      <c r="G51" s="67">
        <f t="shared" si="3"/>
        <v>0</v>
      </c>
      <c r="H51" s="31" t="s">
        <v>261</v>
      </c>
      <c r="I51" s="39">
        <f t="shared" si="4"/>
        <v>465.04262955424377</v>
      </c>
      <c r="J51" s="39">
        <f t="shared" si="5"/>
        <v>465.04262955424377</v>
      </c>
      <c r="K51" s="39">
        <f t="shared" si="10"/>
        <v>68.508760437294725</v>
      </c>
      <c r="L51" s="31">
        <f t="shared" si="11"/>
        <v>7.454471735151906E-2</v>
      </c>
      <c r="M51" s="31">
        <f t="shared" si="12"/>
        <v>5.1069661829010666</v>
      </c>
      <c r="N51" s="32"/>
    </row>
    <row r="52" spans="1:14">
      <c r="A52" s="53" t="s">
        <v>149</v>
      </c>
      <c r="B52" s="62"/>
      <c r="C52" s="62"/>
      <c r="D52" s="62"/>
      <c r="E52" s="54"/>
      <c r="F52" s="54"/>
      <c r="G52" s="36"/>
      <c r="H52" s="36"/>
      <c r="I52" s="61"/>
      <c r="J52" s="121"/>
      <c r="K52" s="60">
        <f>SUM(K31:K51)</f>
        <v>755.3765550969772</v>
      </c>
      <c r="L52" s="59"/>
      <c r="M52" s="58">
        <f>SUM(M32:M51)</f>
        <v>779.77747261195282</v>
      </c>
      <c r="N52" s="37">
        <f>M52/K52</f>
        <v>1.0323029849818981</v>
      </c>
    </row>
  </sheetData>
  <mergeCells count="2">
    <mergeCell ref="A27:C27"/>
    <mergeCell ref="E2:L5"/>
  </mergeCells>
  <pageMargins left="0.7" right="0.7" top="0.75" bottom="0.75" header="0.3" footer="0.3"/>
  <pageSetup paperSize="3" orientation="landscape" r:id="rId1"/>
  <headerFooter>
    <oddFooter>&amp;LSEE PRICIPLES OF GEOTECH 2ND EDITION BYBRAJA M. DAS 9.14 PAGE 414</oddFooter>
  </headerFooter>
  <rowBreaks count="1" manualBreakCount="1">
    <brk id="27" max="16383" man="1"/>
  </rowBreaks>
  <drawing r:id="rId2"/>
</worksheet>
</file>

<file path=xl/worksheets/sheet5.xml><?xml version="1.0" encoding="utf-8"?>
<worksheet xmlns="http://schemas.openxmlformats.org/spreadsheetml/2006/main" xmlns:r="http://schemas.openxmlformats.org/officeDocument/2006/relationships">
  <dimension ref="A1:O52"/>
  <sheetViews>
    <sheetView topLeftCell="A16" zoomScale="85" zoomScaleNormal="85" workbookViewId="0">
      <selection activeCell="A31" sqref="A31:D31"/>
    </sheetView>
  </sheetViews>
  <sheetFormatPr defaultRowHeight="15"/>
  <cols>
    <col min="1" max="1" width="22.7109375" style="1" customWidth="1"/>
    <col min="2" max="4" width="14.5703125" style="57" customWidth="1"/>
    <col min="5" max="5" width="10.28515625" style="1" customWidth="1"/>
    <col min="6" max="6" width="12.140625" style="1" customWidth="1"/>
    <col min="8" max="8" width="6.42578125" customWidth="1"/>
    <col min="9" max="11" width="10.5703125" customWidth="1"/>
    <col min="12" max="12" width="9.85546875" customWidth="1"/>
    <col min="13" max="13" width="12.140625" customWidth="1"/>
    <col min="14" max="14" width="11.5703125" customWidth="1"/>
    <col min="15" max="15" width="15.5703125" customWidth="1"/>
  </cols>
  <sheetData>
    <row r="1" spans="1:13" ht="23.25" customHeight="1">
      <c r="A1" s="135" t="s">
        <v>148</v>
      </c>
      <c r="B1" s="131"/>
      <c r="C1" s="47"/>
      <c r="D1" s="132"/>
      <c r="E1"/>
      <c r="F1"/>
    </row>
    <row r="2" spans="1:13" ht="15" customHeight="1">
      <c r="A2" s="136" t="s">
        <v>143</v>
      </c>
      <c r="B2" s="63"/>
      <c r="C2" s="38"/>
      <c r="D2" s="48"/>
      <c r="E2" s="162" t="s">
        <v>300</v>
      </c>
      <c r="F2" s="163"/>
      <c r="G2" s="163"/>
      <c r="H2" s="163"/>
      <c r="I2" s="163"/>
      <c r="J2" s="163"/>
      <c r="K2" s="163"/>
      <c r="L2" s="163"/>
      <c r="M2" s="163"/>
    </row>
    <row r="3" spans="1:13" ht="24" customHeight="1">
      <c r="A3" s="33"/>
      <c r="B3" s="63"/>
      <c r="C3" s="38"/>
      <c r="D3" s="48"/>
      <c r="E3" s="162"/>
      <c r="F3" s="163"/>
      <c r="G3" s="163"/>
      <c r="H3" s="163"/>
      <c r="I3" s="163"/>
      <c r="J3" s="163"/>
      <c r="K3" s="163"/>
      <c r="L3" s="163"/>
      <c r="M3" s="163"/>
    </row>
    <row r="4" spans="1:13" ht="24" customHeight="1">
      <c r="A4" s="155" t="s">
        <v>301</v>
      </c>
      <c r="B4" s="63"/>
      <c r="C4" s="38"/>
      <c r="D4" s="48"/>
      <c r="E4" s="162"/>
      <c r="F4" s="163"/>
      <c r="G4" s="163"/>
      <c r="H4" s="163"/>
      <c r="I4" s="163"/>
      <c r="J4" s="163"/>
      <c r="K4" s="163"/>
      <c r="L4" s="163"/>
      <c r="M4" s="163"/>
    </row>
    <row r="5" spans="1:13" ht="19.5" customHeight="1">
      <c r="A5" s="33" t="s">
        <v>299</v>
      </c>
      <c r="B5" s="63">
        <v>1000</v>
      </c>
      <c r="C5" s="38" t="s">
        <v>1</v>
      </c>
      <c r="D5" s="48"/>
      <c r="E5" s="162"/>
      <c r="F5" s="163"/>
      <c r="G5" s="163"/>
      <c r="H5" s="163"/>
      <c r="I5" s="163"/>
      <c r="J5" s="163"/>
      <c r="K5" s="163"/>
      <c r="L5" s="163"/>
      <c r="M5" s="163"/>
    </row>
    <row r="6" spans="1:13" ht="45">
      <c r="A6" s="33" t="s">
        <v>297</v>
      </c>
      <c r="B6" s="63">
        <v>10</v>
      </c>
      <c r="C6" s="38" t="s">
        <v>2</v>
      </c>
      <c r="D6" s="48"/>
      <c r="E6"/>
      <c r="F6"/>
    </row>
    <row r="7" spans="1:13" ht="30">
      <c r="A7" s="33" t="s">
        <v>298</v>
      </c>
      <c r="B7" s="63">
        <v>0</v>
      </c>
      <c r="C7" s="38" t="s">
        <v>2</v>
      </c>
      <c r="D7" s="48"/>
      <c r="E7"/>
      <c r="F7"/>
    </row>
    <row r="8" spans="1:13">
      <c r="A8" s="33" t="s">
        <v>249</v>
      </c>
      <c r="B8" s="57">
        <v>10</v>
      </c>
      <c r="C8" s="38" t="s">
        <v>2</v>
      </c>
      <c r="D8" s="48"/>
      <c r="E8"/>
      <c r="F8"/>
    </row>
    <row r="9" spans="1:13" ht="45">
      <c r="A9" s="33" t="s">
        <v>178</v>
      </c>
      <c r="B9" s="63">
        <v>30</v>
      </c>
      <c r="C9" s="38" t="s">
        <v>2</v>
      </c>
      <c r="D9" s="48"/>
      <c r="E9"/>
      <c r="F9"/>
    </row>
    <row r="10" spans="1:13" ht="30">
      <c r="A10" s="33" t="s">
        <v>289</v>
      </c>
      <c r="B10" s="63">
        <v>0.5</v>
      </c>
      <c r="C10" s="38" t="s">
        <v>291</v>
      </c>
      <c r="D10" s="48"/>
      <c r="E10"/>
      <c r="F10"/>
    </row>
    <row r="11" spans="1:13" ht="60">
      <c r="A11" s="33" t="s">
        <v>275</v>
      </c>
      <c r="B11" s="63">
        <v>1</v>
      </c>
      <c r="C11" s="38"/>
      <c r="D11" s="48"/>
      <c r="E11"/>
      <c r="F11"/>
    </row>
    <row r="12" spans="1:13" ht="30">
      <c r="A12" s="155" t="s">
        <v>292</v>
      </c>
      <c r="C12" s="38"/>
      <c r="D12" s="48"/>
      <c r="E12"/>
      <c r="F12"/>
    </row>
    <row r="13" spans="1:13">
      <c r="A13" s="52" t="s">
        <v>294</v>
      </c>
      <c r="B13" s="63">
        <f>x_qi+2*MIN(y_1*Sq,x_1i)</f>
        <v>10</v>
      </c>
      <c r="C13" s="38" t="s">
        <v>2</v>
      </c>
      <c r="D13" s="48"/>
      <c r="E13"/>
      <c r="F13"/>
    </row>
    <row r="14" spans="1:13" ht="15.75" customHeight="1">
      <c r="A14" s="52" t="s">
        <v>293</v>
      </c>
      <c r="B14" s="63">
        <f>x_1i-y_1*Sq</f>
        <v>10</v>
      </c>
      <c r="C14" s="38" t="s">
        <v>2</v>
      </c>
      <c r="D14" s="48"/>
      <c r="E14"/>
      <c r="F14"/>
    </row>
    <row r="15" spans="1:13" ht="15.75" customHeight="1">
      <c r="A15" s="52" t="s">
        <v>295</v>
      </c>
      <c r="B15" s="63">
        <f>qi*x_qi/x_qbs</f>
        <v>1000</v>
      </c>
      <c r="C15" s="38" t="s">
        <v>1</v>
      </c>
      <c r="D15" s="48"/>
      <c r="E15"/>
      <c r="F15"/>
    </row>
    <row r="16" spans="1:13" ht="30">
      <c r="A16" s="52" t="s">
        <v>296</v>
      </c>
      <c r="B16" s="63" t="str">
        <f>IF(x_1i&lt;H*Sq,"load intersects above wall", "OK")</f>
        <v>load intersects above wall</v>
      </c>
      <c r="C16" s="38"/>
      <c r="D16" s="48"/>
      <c r="E16"/>
      <c r="F16"/>
    </row>
    <row r="17" spans="1:15">
      <c r="A17" s="33"/>
      <c r="B17" s="63"/>
      <c r="C17" s="38"/>
      <c r="D17" s="48"/>
      <c r="E17"/>
      <c r="F17"/>
    </row>
    <row r="18" spans="1:15">
      <c r="A18" s="136" t="s">
        <v>247</v>
      </c>
      <c r="B18" s="63"/>
      <c r="C18" s="63"/>
      <c r="D18" s="48"/>
      <c r="E18"/>
      <c r="F18"/>
    </row>
    <row r="19" spans="1:15" ht="30">
      <c r="A19" s="35" t="s">
        <v>177</v>
      </c>
      <c r="B19" s="63">
        <f>B14</f>
        <v>10</v>
      </c>
      <c r="C19" s="63"/>
      <c r="D19" s="48"/>
      <c r="E19"/>
      <c r="F19"/>
    </row>
    <row r="20" spans="1:15" ht="30">
      <c r="A20" s="35" t="s">
        <v>176</v>
      </c>
      <c r="B20" s="63">
        <f>B14+B13</f>
        <v>20</v>
      </c>
      <c r="C20" s="63"/>
      <c r="D20" s="48"/>
      <c r="E20"/>
      <c r="F20"/>
    </row>
    <row r="21" spans="1:15">
      <c r="A21" s="35" t="s">
        <v>246</v>
      </c>
      <c r="B21" s="63">
        <f>DEGREES(ATAN(B14/B9))</f>
        <v>18.43494882292201</v>
      </c>
      <c r="C21" s="38" t="s">
        <v>174</v>
      </c>
      <c r="D21" s="48"/>
      <c r="E21"/>
      <c r="F21"/>
    </row>
    <row r="22" spans="1:15">
      <c r="A22" s="35" t="s">
        <v>175</v>
      </c>
      <c r="B22" s="63">
        <f>DEGREES(ATAN((B14+B13)/B9))</f>
        <v>33.690067525979785</v>
      </c>
      <c r="C22" s="38" t="s">
        <v>174</v>
      </c>
      <c r="D22" s="48"/>
      <c r="E22"/>
      <c r="F22"/>
    </row>
    <row r="23" spans="1:15" ht="30">
      <c r="A23" s="137" t="s">
        <v>173</v>
      </c>
      <c r="B23" s="63">
        <f>(B15/90)*(B9*(B22-B21))</f>
        <v>5085.0395676859252</v>
      </c>
      <c r="C23" s="38" t="s">
        <v>144</v>
      </c>
      <c r="D23" s="48" t="s">
        <v>172</v>
      </c>
      <c r="E23"/>
      <c r="F23"/>
    </row>
    <row r="24" spans="1:15">
      <c r="A24" s="137"/>
      <c r="B24" s="63"/>
      <c r="C24" s="38"/>
      <c r="D24" s="48"/>
      <c r="E24"/>
      <c r="F24"/>
    </row>
    <row r="25" spans="1:15">
      <c r="A25" s="137" t="s">
        <v>276</v>
      </c>
      <c r="B25" s="63">
        <f>L52</f>
        <v>2520.3074544463116</v>
      </c>
      <c r="C25" s="38" t="s">
        <v>144</v>
      </c>
      <c r="D25" s="48"/>
      <c r="E25"/>
      <c r="F25"/>
    </row>
    <row r="26" spans="1:15" ht="30">
      <c r="A26" s="133" t="s">
        <v>170</v>
      </c>
      <c r="B26" s="62">
        <f>O52</f>
        <v>16.996208925286442</v>
      </c>
      <c r="C26" s="54" t="s">
        <v>2</v>
      </c>
      <c r="D26" s="134"/>
      <c r="E26"/>
      <c r="F26"/>
    </row>
    <row r="27" spans="1:15" ht="16.5" customHeight="1">
      <c r="A27" s="161" t="s">
        <v>290</v>
      </c>
      <c r="B27" s="161"/>
      <c r="C27" s="161"/>
    </row>
    <row r="30" spans="1:15" s="142" customFormat="1" ht="30">
      <c r="A30" s="138" t="s">
        <v>169</v>
      </c>
      <c r="B30" s="70" t="s">
        <v>167</v>
      </c>
      <c r="C30" s="70" t="s">
        <v>168</v>
      </c>
      <c r="D30" s="70" t="s">
        <v>303</v>
      </c>
      <c r="E30" s="70" t="s">
        <v>166</v>
      </c>
      <c r="F30" s="70" t="s">
        <v>165</v>
      </c>
      <c r="G30" s="70" t="s">
        <v>164</v>
      </c>
      <c r="H30" s="70"/>
      <c r="I30" s="143" t="s">
        <v>305</v>
      </c>
      <c r="J30" s="143" t="s">
        <v>304</v>
      </c>
      <c r="K30" s="143" t="s">
        <v>306</v>
      </c>
      <c r="L30" s="139" t="s">
        <v>5</v>
      </c>
      <c r="M30" s="140" t="s">
        <v>163</v>
      </c>
      <c r="N30" s="140" t="s">
        <v>162</v>
      </c>
      <c r="O30" s="141" t="s">
        <v>161</v>
      </c>
    </row>
    <row r="31" spans="1:15">
      <c r="A31" s="127">
        <v>90</v>
      </c>
      <c r="B31" s="130">
        <f t="shared" ref="B31" si="0">A31+D31/2</f>
        <v>90</v>
      </c>
      <c r="C31" s="128">
        <v>90</v>
      </c>
      <c r="D31" s="130">
        <f t="shared" ref="D31" si="1">C31-A31</f>
        <v>0</v>
      </c>
      <c r="E31" s="68">
        <v>0</v>
      </c>
      <c r="F31" s="68">
        <f t="shared" ref="F31:F51" si="2">E31*H</f>
        <v>0</v>
      </c>
      <c r="G31" s="67">
        <f t="shared" ref="G31:G51" si="3">H-F31</f>
        <v>30</v>
      </c>
      <c r="H31" s="66" t="s">
        <v>160</v>
      </c>
      <c r="I31" s="39">
        <f t="shared" ref="I31:I51" si="4">K*q/PI()*(RADIANS(D31)+SIN(RADIANS(D31)))</f>
        <v>0</v>
      </c>
      <c r="J31" s="39">
        <f t="shared" ref="J31:J51" si="5">K*q/PI()*(RADIANS(D31)-SIN(RADIANS(D31)))</f>
        <v>0</v>
      </c>
      <c r="K31" s="67">
        <f>(I31*SIN(RADIANS(B31))^2+J31*COS(RADIANS(2*B31))^2)</f>
        <v>0</v>
      </c>
      <c r="L31" s="67">
        <v>0</v>
      </c>
      <c r="M31" s="67">
        <f>G31-F31</f>
        <v>30</v>
      </c>
      <c r="N31" s="66"/>
      <c r="O31" s="65"/>
    </row>
    <row r="32" spans="1:15">
      <c r="A32" s="129">
        <f t="shared" ref="A32:A51" si="6">DEGREES(ATAN(x_1/F32))</f>
        <v>81.469234390051867</v>
      </c>
      <c r="B32" s="130">
        <f t="shared" ref="B32:B51" si="7">A32+D32/2</f>
        <v>83.59004053061642</v>
      </c>
      <c r="C32" s="130">
        <f t="shared" ref="C32:C51" si="8">DEGREES(ATAN(x_2/F32))</f>
        <v>85.710846671180988</v>
      </c>
      <c r="D32" s="130">
        <f t="shared" ref="D32:D51" si="9">C32-A32</f>
        <v>4.2416122811291217</v>
      </c>
      <c r="E32" s="63">
        <v>0.05</v>
      </c>
      <c r="F32" s="68">
        <f t="shared" si="2"/>
        <v>1.5</v>
      </c>
      <c r="G32" s="67">
        <f t="shared" si="3"/>
        <v>28.5</v>
      </c>
      <c r="H32" s="31" t="s">
        <v>159</v>
      </c>
      <c r="I32" s="39">
        <f t="shared" si="4"/>
        <v>47.107507198590795</v>
      </c>
      <c r="J32" s="39">
        <f t="shared" si="5"/>
        <v>2.151814728833442E-2</v>
      </c>
      <c r="K32" s="67">
        <f t="shared" ref="K32:K51" si="10">(I32*SIN(RADIANS(B32))^2+J32*COS(RADIANS(2*B32))^2)</f>
        <v>46.540824399567349</v>
      </c>
      <c r="L32" s="39">
        <f>((K32+K31)/2)*(G31-G32)</f>
        <v>34.90561829967551</v>
      </c>
      <c r="M32" s="31">
        <f t="shared" ref="M32:M51" si="11">G31-((F32-F31)*(2*I32+I31))/(3*(I32+I31))</f>
        <v>29</v>
      </c>
      <c r="N32" s="31">
        <f t="shared" ref="N32:N51" si="12">L32*M32</f>
        <v>1012.2629306905898</v>
      </c>
      <c r="O32" s="32"/>
    </row>
    <row r="33" spans="1:15">
      <c r="A33" s="129">
        <f t="shared" si="6"/>
        <v>73.30075576600639</v>
      </c>
      <c r="B33" s="130">
        <f t="shared" si="7"/>
        <v>77.384995078029135</v>
      </c>
      <c r="C33" s="130">
        <f t="shared" si="8"/>
        <v>81.469234390051867</v>
      </c>
      <c r="D33" s="130">
        <f t="shared" si="9"/>
        <v>8.168478624045477</v>
      </c>
      <c r="E33" s="63">
        <v>0.1</v>
      </c>
      <c r="F33" s="68">
        <f t="shared" si="2"/>
        <v>3</v>
      </c>
      <c r="G33" s="67">
        <f t="shared" si="3"/>
        <v>27</v>
      </c>
      <c r="H33" s="31" t="s">
        <v>158</v>
      </c>
      <c r="I33" s="39">
        <f t="shared" si="4"/>
        <v>90.607301211157107</v>
      </c>
      <c r="J33" s="39">
        <f t="shared" si="5"/>
        <v>0.1535723893482093</v>
      </c>
      <c r="K33" s="67">
        <f t="shared" si="10"/>
        <v>86.411179982103945</v>
      </c>
      <c r="L33" s="39">
        <f t="shared" ref="L33:L51" si="13">((K33+K32)/2)*(G32-G33)</f>
        <v>99.714003286253472</v>
      </c>
      <c r="M33" s="31">
        <f t="shared" si="11"/>
        <v>27.671032831336593</v>
      </c>
      <c r="N33" s="31">
        <f t="shared" si="12"/>
        <v>2759.1894586779249</v>
      </c>
      <c r="O33" s="32"/>
    </row>
    <row r="34" spans="1:15">
      <c r="A34" s="129">
        <f t="shared" si="6"/>
        <v>65.772254682045826</v>
      </c>
      <c r="B34" s="130">
        <f t="shared" si="7"/>
        <v>71.545935595113008</v>
      </c>
      <c r="C34" s="130">
        <f t="shared" si="8"/>
        <v>77.319616508180175</v>
      </c>
      <c r="D34" s="130">
        <f t="shared" si="9"/>
        <v>11.547361826134349</v>
      </c>
      <c r="E34" s="68">
        <v>0.15</v>
      </c>
      <c r="F34" s="68">
        <f t="shared" si="2"/>
        <v>4.5</v>
      </c>
      <c r="G34" s="67">
        <f t="shared" si="3"/>
        <v>25.5</v>
      </c>
      <c r="H34" s="31" t="s">
        <v>157</v>
      </c>
      <c r="I34" s="39">
        <f t="shared" si="4"/>
        <v>127.87061196683845</v>
      </c>
      <c r="J34" s="39">
        <f t="shared" si="5"/>
        <v>0.43340832354321246</v>
      </c>
      <c r="K34" s="67">
        <f t="shared" si="10"/>
        <v>115.33504615922755</v>
      </c>
      <c r="L34" s="39">
        <f t="shared" si="13"/>
        <v>151.30966960599861</v>
      </c>
      <c r="M34" s="31">
        <f t="shared" si="11"/>
        <v>26.207360322819767</v>
      </c>
      <c r="N34" s="31">
        <f t="shared" si="12"/>
        <v>3965.4270316912161</v>
      </c>
      <c r="O34" s="32"/>
    </row>
    <row r="35" spans="1:15">
      <c r="A35" s="129">
        <f t="shared" si="6"/>
        <v>59.036243467926482</v>
      </c>
      <c r="B35" s="130">
        <f t="shared" si="7"/>
        <v>66.168499616966443</v>
      </c>
      <c r="C35" s="130">
        <f t="shared" si="8"/>
        <v>73.30075576600639</v>
      </c>
      <c r="D35" s="130">
        <f t="shared" si="9"/>
        <v>14.264512298079907</v>
      </c>
      <c r="E35" s="63">
        <v>0.2</v>
      </c>
      <c r="F35" s="68">
        <f t="shared" si="2"/>
        <v>6</v>
      </c>
      <c r="G35" s="67">
        <f t="shared" si="3"/>
        <v>24</v>
      </c>
      <c r="H35" s="31" t="s">
        <v>156</v>
      </c>
      <c r="I35" s="39">
        <f t="shared" si="4"/>
        <v>157.67845787336023</v>
      </c>
      <c r="J35" s="39">
        <f t="shared" si="5"/>
        <v>0.81612321641651153</v>
      </c>
      <c r="K35" s="67">
        <f t="shared" si="10"/>
        <v>132.30684526232139</v>
      </c>
      <c r="L35" s="39">
        <f t="shared" si="13"/>
        <v>185.73141856616169</v>
      </c>
      <c r="M35" s="31">
        <f t="shared" si="11"/>
        <v>24.723903044121975</v>
      </c>
      <c r="N35" s="31">
        <f t="shared" si="12"/>
        <v>4592.005584877018</v>
      </c>
      <c r="O35" s="32"/>
    </row>
    <row r="36" spans="1:15">
      <c r="A36" s="129">
        <f t="shared" si="6"/>
        <v>53.13010235415598</v>
      </c>
      <c r="B36" s="130">
        <f t="shared" si="7"/>
        <v>61.287028567286256</v>
      </c>
      <c r="C36" s="130">
        <f t="shared" si="8"/>
        <v>69.443954780416533</v>
      </c>
      <c r="D36" s="130">
        <f t="shared" si="9"/>
        <v>16.313852426260553</v>
      </c>
      <c r="E36" s="63">
        <v>0.25</v>
      </c>
      <c r="F36" s="68">
        <f t="shared" si="2"/>
        <v>7.5</v>
      </c>
      <c r="G36" s="67">
        <f t="shared" si="3"/>
        <v>22.5</v>
      </c>
      <c r="H36" s="31" t="s">
        <v>155</v>
      </c>
      <c r="I36" s="39">
        <f t="shared" si="4"/>
        <v>180.04536366199471</v>
      </c>
      <c r="J36" s="39">
        <f t="shared" si="5"/>
        <v>1.2196632964558425</v>
      </c>
      <c r="K36" s="67">
        <f t="shared" si="10"/>
        <v>138.84346370359771</v>
      </c>
      <c r="L36" s="39">
        <f t="shared" si="13"/>
        <v>203.3627317244393</v>
      </c>
      <c r="M36" s="31">
        <f t="shared" si="11"/>
        <v>23.233442901890257</v>
      </c>
      <c r="N36" s="31">
        <f t="shared" si="12"/>
        <v>4724.8164158921873</v>
      </c>
      <c r="O36" s="32"/>
    </row>
    <row r="37" spans="1:15">
      <c r="A37" s="129">
        <f t="shared" si="6"/>
        <v>48.012787504183343</v>
      </c>
      <c r="B37" s="130">
        <f t="shared" si="7"/>
        <v>56.892521093114581</v>
      </c>
      <c r="C37" s="130">
        <f t="shared" si="8"/>
        <v>65.772254682045826</v>
      </c>
      <c r="D37" s="130">
        <f t="shared" si="9"/>
        <v>17.759467177862483</v>
      </c>
      <c r="E37" s="68">
        <v>0.3</v>
      </c>
      <c r="F37" s="68">
        <f t="shared" si="2"/>
        <v>9</v>
      </c>
      <c r="G37" s="67">
        <f t="shared" si="3"/>
        <v>21</v>
      </c>
      <c r="H37" s="31" t="s">
        <v>154</v>
      </c>
      <c r="I37" s="39">
        <f t="shared" si="4"/>
        <v>195.75511721290411</v>
      </c>
      <c r="J37" s="39">
        <f t="shared" si="5"/>
        <v>1.5722958744568372</v>
      </c>
      <c r="K37" s="67">
        <f t="shared" si="10"/>
        <v>137.60794987103969</v>
      </c>
      <c r="L37" s="39">
        <f t="shared" si="13"/>
        <v>207.33856018097805</v>
      </c>
      <c r="M37" s="31">
        <f t="shared" si="11"/>
        <v>21.739549139536532</v>
      </c>
      <c r="N37" s="31">
        <f t="shared" si="12"/>
        <v>4507.4468175751244</v>
      </c>
      <c r="O37" s="32"/>
    </row>
    <row r="38" spans="1:15">
      <c r="A38" s="129">
        <f t="shared" si="6"/>
        <v>43.602818972703624</v>
      </c>
      <c r="B38" s="130">
        <f t="shared" si="7"/>
        <v>52.951673082324312</v>
      </c>
      <c r="C38" s="130">
        <f t="shared" si="8"/>
        <v>62.300527191945001</v>
      </c>
      <c r="D38" s="130">
        <f t="shared" si="9"/>
        <v>18.697708219241377</v>
      </c>
      <c r="E38" s="63">
        <v>0.35</v>
      </c>
      <c r="F38" s="68">
        <f t="shared" si="2"/>
        <v>10.5</v>
      </c>
      <c r="G38" s="67">
        <f t="shared" si="3"/>
        <v>19.5</v>
      </c>
      <c r="H38" s="31" t="s">
        <v>153</v>
      </c>
      <c r="I38" s="39">
        <f t="shared" si="4"/>
        <v>205.91838124380405</v>
      </c>
      <c r="J38" s="39">
        <f t="shared" si="5"/>
        <v>1.8339323033223938</v>
      </c>
      <c r="K38" s="67">
        <f t="shared" si="10"/>
        <v>131.30929268983485</v>
      </c>
      <c r="L38" s="39">
        <f t="shared" si="13"/>
        <v>201.68793192065593</v>
      </c>
      <c r="M38" s="31">
        <f t="shared" si="11"/>
        <v>20.243674424582434</v>
      </c>
      <c r="N38" s="31">
        <f t="shared" si="12"/>
        <v>4082.9048291691056</v>
      </c>
      <c r="O38" s="32"/>
    </row>
    <row r="39" spans="1:15">
      <c r="A39" s="129">
        <f t="shared" si="6"/>
        <v>39.805571092265197</v>
      </c>
      <c r="B39" s="130">
        <f t="shared" si="7"/>
        <v>49.42090728009584</v>
      </c>
      <c r="C39" s="130">
        <f t="shared" si="8"/>
        <v>59.036243467926482</v>
      </c>
      <c r="D39" s="130">
        <f t="shared" si="9"/>
        <v>19.230672375661285</v>
      </c>
      <c r="E39" s="63">
        <v>0.4</v>
      </c>
      <c r="F39" s="68">
        <f t="shared" si="2"/>
        <v>12</v>
      </c>
      <c r="G39" s="67">
        <f t="shared" si="3"/>
        <v>18</v>
      </c>
      <c r="H39" s="31" t="s">
        <v>152</v>
      </c>
      <c r="I39" s="39">
        <f t="shared" si="4"/>
        <v>211.67948234345971</v>
      </c>
      <c r="J39" s="39">
        <f t="shared" si="5"/>
        <v>1.9946551638878991</v>
      </c>
      <c r="K39" s="67">
        <f t="shared" si="10"/>
        <v>122.15517634418175</v>
      </c>
      <c r="L39" s="39">
        <f t="shared" si="13"/>
        <v>190.09835177551244</v>
      </c>
      <c r="M39" s="31">
        <f t="shared" si="11"/>
        <v>18.746551047310106</v>
      </c>
      <c r="N39" s="31">
        <f t="shared" si="12"/>
        <v>3563.6884555691577</v>
      </c>
      <c r="O39" s="32"/>
    </row>
    <row r="40" spans="1:15">
      <c r="A40" s="129">
        <f t="shared" si="6"/>
        <v>36.528855366985169</v>
      </c>
      <c r="B40" s="130">
        <f t="shared" si="7"/>
        <v>46.254752688579359</v>
      </c>
      <c r="C40" s="130">
        <f t="shared" si="8"/>
        <v>55.980650010173541</v>
      </c>
      <c r="D40" s="130">
        <f t="shared" si="9"/>
        <v>19.451794643188371</v>
      </c>
      <c r="E40" s="68">
        <v>0.45</v>
      </c>
      <c r="F40" s="68">
        <f t="shared" si="2"/>
        <v>13.5</v>
      </c>
      <c r="G40" s="67">
        <f t="shared" si="3"/>
        <v>16.5</v>
      </c>
      <c r="H40" s="31" t="s">
        <v>151</v>
      </c>
      <c r="I40" s="39">
        <f t="shared" si="4"/>
        <v>214.06706509223818</v>
      </c>
      <c r="J40" s="39">
        <f t="shared" si="5"/>
        <v>2.0639864987437448</v>
      </c>
      <c r="K40" s="67">
        <f t="shared" si="10"/>
        <v>111.72396652110241</v>
      </c>
      <c r="L40" s="39">
        <f t="shared" si="13"/>
        <v>175.40935714896312</v>
      </c>
      <c r="M40" s="31">
        <f t="shared" si="11"/>
        <v>17.248598002283778</v>
      </c>
      <c r="N40" s="31">
        <f t="shared" si="12"/>
        <v>3025.5654873014869</v>
      </c>
      <c r="O40" s="32"/>
    </row>
    <row r="41" spans="1:15">
      <c r="A41" s="129">
        <f t="shared" si="6"/>
        <v>33.690067525979785</v>
      </c>
      <c r="B41" s="130">
        <f t="shared" si="7"/>
        <v>43.410084940067883</v>
      </c>
      <c r="C41" s="130">
        <f t="shared" si="8"/>
        <v>53.13010235415598</v>
      </c>
      <c r="D41" s="130">
        <f t="shared" si="9"/>
        <v>19.440034828176195</v>
      </c>
      <c r="E41" s="63">
        <v>0.5</v>
      </c>
      <c r="F41" s="68">
        <f t="shared" si="2"/>
        <v>15</v>
      </c>
      <c r="G41" s="67">
        <f t="shared" si="3"/>
        <v>15</v>
      </c>
      <c r="H41" s="31" t="s">
        <v>150</v>
      </c>
      <c r="I41" s="39">
        <f t="shared" si="4"/>
        <v>213.94012728581518</v>
      </c>
      <c r="J41" s="39">
        <f t="shared" si="5"/>
        <v>2.0602596939203113</v>
      </c>
      <c r="K41" s="67">
        <f t="shared" si="10"/>
        <v>101.04277137420964</v>
      </c>
      <c r="L41" s="39">
        <f t="shared" si="13"/>
        <v>159.57505342148403</v>
      </c>
      <c r="M41" s="31">
        <f t="shared" si="11"/>
        <v>15.750074144668993</v>
      </c>
      <c r="N41" s="31">
        <f t="shared" si="12"/>
        <v>2513.318923027889</v>
      </c>
      <c r="O41" s="32"/>
    </row>
    <row r="42" spans="1:15">
      <c r="A42" s="129">
        <f t="shared" si="6"/>
        <v>31.218402764346376</v>
      </c>
      <c r="B42" s="130">
        <f t="shared" si="7"/>
        <v>40.847885746587629</v>
      </c>
      <c r="C42" s="130">
        <f t="shared" si="8"/>
        <v>50.477368728828878</v>
      </c>
      <c r="D42" s="130">
        <f t="shared" si="9"/>
        <v>19.258965964482503</v>
      </c>
      <c r="E42" s="63">
        <v>0.55000000000000004</v>
      </c>
      <c r="F42" s="68">
        <f t="shared" si="2"/>
        <v>16.5</v>
      </c>
      <c r="G42" s="67">
        <f t="shared" si="3"/>
        <v>13.5</v>
      </c>
      <c r="H42" s="31" t="s">
        <v>252</v>
      </c>
      <c r="I42" s="39">
        <f t="shared" si="4"/>
        <v>211.98507177939069</v>
      </c>
      <c r="J42" s="39">
        <f t="shared" si="5"/>
        <v>2.0034389370815808</v>
      </c>
      <c r="K42" s="67">
        <f t="shared" si="10"/>
        <v>90.725906995193881</v>
      </c>
      <c r="L42" s="39">
        <f t="shared" si="13"/>
        <v>143.82650877705265</v>
      </c>
      <c r="M42" s="31">
        <f t="shared" si="11"/>
        <v>14.251147534538175</v>
      </c>
      <c r="N42" s="31">
        <f t="shared" si="12"/>
        <v>2049.6927959593272</v>
      </c>
      <c r="O42" s="32"/>
    </row>
    <row r="43" spans="1:15">
      <c r="A43" s="129">
        <f t="shared" si="6"/>
        <v>29.054604099077146</v>
      </c>
      <c r="B43" s="130">
        <f t="shared" si="7"/>
        <v>38.533695801630245</v>
      </c>
      <c r="C43" s="130">
        <f t="shared" si="8"/>
        <v>48.012787504183343</v>
      </c>
      <c r="D43" s="130">
        <f t="shared" si="9"/>
        <v>18.958183405106197</v>
      </c>
      <c r="E43" s="68">
        <v>0.6</v>
      </c>
      <c r="F43" s="68">
        <f t="shared" si="2"/>
        <v>18</v>
      </c>
      <c r="G43" s="67">
        <f t="shared" si="3"/>
        <v>12</v>
      </c>
      <c r="H43" s="31" t="s">
        <v>253</v>
      </c>
      <c r="I43" s="39">
        <f t="shared" si="4"/>
        <v>208.73511815320512</v>
      </c>
      <c r="J43" s="39">
        <f t="shared" si="5"/>
        <v>1.9113641257526703</v>
      </c>
      <c r="K43" s="67">
        <f t="shared" si="10"/>
        <v>81.105331812198557</v>
      </c>
      <c r="L43" s="39">
        <f t="shared" si="13"/>
        <v>128.87342910554432</v>
      </c>
      <c r="M43" s="31">
        <f t="shared" si="11"/>
        <v>12.751931184730347</v>
      </c>
      <c r="N43" s="31">
        <f t="shared" si="12"/>
        <v>1643.3850994941263</v>
      </c>
      <c r="O43" s="32"/>
    </row>
    <row r="44" spans="1:15">
      <c r="A44" s="129">
        <f t="shared" si="6"/>
        <v>27.149681697783166</v>
      </c>
      <c r="B44" s="130">
        <f t="shared" si="7"/>
        <v>36.437452998421207</v>
      </c>
      <c r="C44" s="130">
        <f t="shared" si="8"/>
        <v>45.725224299059249</v>
      </c>
      <c r="D44" s="130">
        <f t="shared" si="9"/>
        <v>18.575542601276084</v>
      </c>
      <c r="E44" s="63">
        <v>0.65</v>
      </c>
      <c r="F44" s="68">
        <f t="shared" si="2"/>
        <v>19.5</v>
      </c>
      <c r="G44" s="67">
        <f t="shared" si="3"/>
        <v>10.5</v>
      </c>
      <c r="H44" s="31" t="s">
        <v>254</v>
      </c>
      <c r="I44" s="39">
        <f t="shared" si="4"/>
        <v>204.5965735906008</v>
      </c>
      <c r="J44" s="39">
        <f t="shared" si="5"/>
        <v>1.7983442013556927</v>
      </c>
      <c r="K44" s="67">
        <f t="shared" si="10"/>
        <v>72.331572241158781</v>
      </c>
      <c r="L44" s="39">
        <f t="shared" si="13"/>
        <v>115.07767804001801</v>
      </c>
      <c r="M44" s="31">
        <f t="shared" si="11"/>
        <v>11.252503161894715</v>
      </c>
      <c r="N44" s="31">
        <f t="shared" si="12"/>
        <v>1294.9119360088048</v>
      </c>
      <c r="O44" s="32"/>
    </row>
    <row r="45" spans="1:15">
      <c r="A45" s="129">
        <f t="shared" si="6"/>
        <v>25.463345061871614</v>
      </c>
      <c r="B45" s="130">
        <f t="shared" si="7"/>
        <v>34.533082017287619</v>
      </c>
      <c r="C45" s="130">
        <f t="shared" si="8"/>
        <v>43.602818972703624</v>
      </c>
      <c r="D45" s="130">
        <f t="shared" si="9"/>
        <v>18.13947391083201</v>
      </c>
      <c r="E45" s="63">
        <v>0.7</v>
      </c>
      <c r="F45" s="68">
        <f t="shared" si="2"/>
        <v>21</v>
      </c>
      <c r="G45" s="67">
        <f t="shared" si="3"/>
        <v>9</v>
      </c>
      <c r="H45" s="31" t="s">
        <v>255</v>
      </c>
      <c r="I45" s="39">
        <f t="shared" si="4"/>
        <v>199.8746581590342</v>
      </c>
      <c r="J45" s="39">
        <f t="shared" si="5"/>
        <v>1.6750519613214701</v>
      </c>
      <c r="K45" s="67">
        <f t="shared" si="10"/>
        <v>64.444587921749687</v>
      </c>
      <c r="L45" s="39">
        <f t="shared" si="13"/>
        <v>102.58212012218135</v>
      </c>
      <c r="M45" s="31">
        <f t="shared" si="11"/>
        <v>9.7529185731029262</v>
      </c>
      <c r="N45" s="31">
        <f t="shared" si="12"/>
        <v>1000.4750646078979</v>
      </c>
      <c r="O45" s="32"/>
    </row>
    <row r="46" spans="1:15">
      <c r="A46" s="129">
        <f t="shared" si="6"/>
        <v>23.962488974578182</v>
      </c>
      <c r="B46" s="130">
        <f t="shared" si="7"/>
        <v>32.798014155574194</v>
      </c>
      <c r="C46" s="130">
        <f t="shared" si="8"/>
        <v>41.633539336570202</v>
      </c>
      <c r="D46" s="130">
        <f t="shared" si="9"/>
        <v>17.67105036199202</v>
      </c>
      <c r="E46" s="68">
        <v>0.75</v>
      </c>
      <c r="F46" s="68">
        <f t="shared" si="2"/>
        <v>22.5</v>
      </c>
      <c r="G46" s="67">
        <f t="shared" si="3"/>
        <v>7.5</v>
      </c>
      <c r="H46" s="31" t="s">
        <v>256</v>
      </c>
      <c r="I46" s="39">
        <f t="shared" si="4"/>
        <v>194.79600087791562</v>
      </c>
      <c r="J46" s="39">
        <f t="shared" si="5"/>
        <v>1.5490031442179322</v>
      </c>
      <c r="K46" s="67">
        <f t="shared" si="10"/>
        <v>57.420732929662982</v>
      </c>
      <c r="L46" s="39">
        <f t="shared" si="13"/>
        <v>91.398990638559496</v>
      </c>
      <c r="M46" s="31">
        <f t="shared" si="11"/>
        <v>8.2532170223228096</v>
      </c>
      <c r="N46" s="31">
        <f t="shared" si="12"/>
        <v>754.33570536128241</v>
      </c>
      <c r="O46" s="32"/>
    </row>
    <row r="47" spans="1:15">
      <c r="A47" s="129">
        <f t="shared" si="6"/>
        <v>22.61986494804043</v>
      </c>
      <c r="B47" s="130">
        <f t="shared" si="7"/>
        <v>31.212718020152813</v>
      </c>
      <c r="C47" s="130">
        <f t="shared" si="8"/>
        <v>39.805571092265197</v>
      </c>
      <c r="D47" s="130">
        <f t="shared" si="9"/>
        <v>17.185706144224767</v>
      </c>
      <c r="E47" s="63">
        <v>0.8</v>
      </c>
      <c r="F47" s="68">
        <f t="shared" si="2"/>
        <v>24</v>
      </c>
      <c r="G47" s="67">
        <f t="shared" si="3"/>
        <v>6</v>
      </c>
      <c r="H47" s="31" t="s">
        <v>257</v>
      </c>
      <c r="I47" s="39">
        <f t="shared" si="4"/>
        <v>189.52707911977265</v>
      </c>
      <c r="J47" s="39">
        <f t="shared" si="5"/>
        <v>1.4252113716136476</v>
      </c>
      <c r="K47" s="67">
        <f t="shared" si="10"/>
        <v>51.202646504612659</v>
      </c>
      <c r="L47" s="39">
        <f t="shared" si="13"/>
        <v>81.467534575706736</v>
      </c>
      <c r="M47" s="31">
        <f t="shared" si="11"/>
        <v>6.7534274039423909</v>
      </c>
      <c r="N47" s="31">
        <f t="shared" si="12"/>
        <v>550.18508053520213</v>
      </c>
      <c r="O47" s="32"/>
    </row>
    <row r="48" spans="1:15">
      <c r="A48" s="129">
        <f t="shared" si="6"/>
        <v>21.412969474871762</v>
      </c>
      <c r="B48" s="130">
        <f t="shared" si="7"/>
        <v>29.760273176193309</v>
      </c>
      <c r="C48" s="130">
        <f t="shared" si="8"/>
        <v>38.107576877514859</v>
      </c>
      <c r="D48" s="130">
        <f t="shared" si="9"/>
        <v>16.694607402643097</v>
      </c>
      <c r="E48" s="63">
        <v>0.85</v>
      </c>
      <c r="F48" s="68">
        <f t="shared" si="2"/>
        <v>25.5</v>
      </c>
      <c r="G48" s="67">
        <f t="shared" si="3"/>
        <v>4.5</v>
      </c>
      <c r="H48" s="31" t="s">
        <v>258</v>
      </c>
      <c r="I48" s="39">
        <f t="shared" si="4"/>
        <v>184.18881758192478</v>
      </c>
      <c r="J48" s="39">
        <f t="shared" si="5"/>
        <v>1.3068202252207766</v>
      </c>
      <c r="K48" s="67">
        <f t="shared" si="10"/>
        <v>45.717642603965203</v>
      </c>
      <c r="L48" s="39">
        <f t="shared" si="13"/>
        <v>72.690216831433389</v>
      </c>
      <c r="M48" s="31">
        <f t="shared" si="11"/>
        <v>5.2535710693503823</v>
      </c>
      <c r="N48" s="31">
        <f t="shared" si="12"/>
        <v>381.88322017042469</v>
      </c>
      <c r="O48" s="32"/>
    </row>
    <row r="49" spans="1:15">
      <c r="A49" s="129">
        <f t="shared" si="6"/>
        <v>20.323136829662939</v>
      </c>
      <c r="B49" s="130">
        <f t="shared" si="7"/>
        <v>28.425996098324056</v>
      </c>
      <c r="C49" s="130">
        <f t="shared" si="8"/>
        <v>36.528855366985169</v>
      </c>
      <c r="D49" s="130">
        <f t="shared" si="9"/>
        <v>16.20571853732223</v>
      </c>
      <c r="E49" s="68">
        <v>0.9</v>
      </c>
      <c r="F49" s="68">
        <f t="shared" si="2"/>
        <v>27</v>
      </c>
      <c r="G49" s="67">
        <f t="shared" si="3"/>
        <v>3</v>
      </c>
      <c r="H49" s="31" t="s">
        <v>259</v>
      </c>
      <c r="I49" s="39">
        <f t="shared" si="4"/>
        <v>178.86790461506817</v>
      </c>
      <c r="J49" s="39">
        <f t="shared" si="5"/>
        <v>1.1956346885121618</v>
      </c>
      <c r="K49" s="67">
        <f t="shared" si="10"/>
        <v>40.888625197384954</v>
      </c>
      <c r="L49" s="39">
        <f t="shared" si="13"/>
        <v>64.954700851012618</v>
      </c>
      <c r="M49" s="31">
        <f t="shared" si="11"/>
        <v>3.7536639680809776</v>
      </c>
      <c r="N49" s="31">
        <f t="shared" si="12"/>
        <v>243.81812014192488</v>
      </c>
      <c r="O49" s="32"/>
    </row>
    <row r="50" spans="1:15">
      <c r="A50" s="129">
        <f t="shared" si="6"/>
        <v>19.334808537826412</v>
      </c>
      <c r="B50" s="130">
        <f t="shared" si="7"/>
        <v>27.197117752356693</v>
      </c>
      <c r="C50" s="130">
        <f t="shared" si="8"/>
        <v>35.059426966886974</v>
      </c>
      <c r="D50" s="130">
        <f t="shared" si="9"/>
        <v>15.724618429060563</v>
      </c>
      <c r="E50" s="63">
        <v>0.95</v>
      </c>
      <c r="F50" s="68">
        <f t="shared" si="2"/>
        <v>28.5</v>
      </c>
      <c r="G50" s="67">
        <f t="shared" si="3"/>
        <v>1.5</v>
      </c>
      <c r="H50" s="31" t="s">
        <v>260</v>
      </c>
      <c r="I50" s="39">
        <f t="shared" si="4"/>
        <v>173.62544691325107</v>
      </c>
      <c r="J50" s="39">
        <f t="shared" si="5"/>
        <v>1.0925356318662718</v>
      </c>
      <c r="K50" s="67">
        <f t="shared" si="10"/>
        <v>36.640270016747827</v>
      </c>
      <c r="L50" s="39">
        <f t="shared" si="13"/>
        <v>58.146671410599581</v>
      </c>
      <c r="M50" s="31">
        <f t="shared" si="11"/>
        <v>2.2537181252349066</v>
      </c>
      <c r="N50" s="31">
        <f t="shared" si="12"/>
        <v>131.04620728014663</v>
      </c>
      <c r="O50" s="32"/>
    </row>
    <row r="51" spans="1:15">
      <c r="A51" s="129">
        <f t="shared" si="6"/>
        <v>18.43494882292201</v>
      </c>
      <c r="B51" s="130">
        <f t="shared" si="7"/>
        <v>26.062508174450898</v>
      </c>
      <c r="C51" s="130">
        <f t="shared" si="8"/>
        <v>33.690067525979785</v>
      </c>
      <c r="D51" s="130">
        <f t="shared" si="9"/>
        <v>15.255118703057775</v>
      </c>
      <c r="E51" s="63">
        <v>1</v>
      </c>
      <c r="F51" s="68">
        <f t="shared" si="2"/>
        <v>30</v>
      </c>
      <c r="G51" s="67">
        <f t="shared" si="3"/>
        <v>0</v>
      </c>
      <c r="H51" s="31" t="s">
        <v>261</v>
      </c>
      <c r="I51" s="39">
        <f t="shared" si="4"/>
        <v>168.50353095209252</v>
      </c>
      <c r="J51" s="39">
        <f t="shared" si="5"/>
        <v>0.99778797077168102</v>
      </c>
      <c r="K51" s="67">
        <f t="shared" si="10"/>
        <v>32.902274202027314</v>
      </c>
      <c r="L51" s="39">
        <f t="shared" si="13"/>
        <v>52.156908164081351</v>
      </c>
      <c r="M51" s="31">
        <f t="shared" si="11"/>
        <v>0.75374267914480375</v>
      </c>
      <c r="N51" s="31">
        <f t="shared" si="12"/>
        <v>39.312887695504166</v>
      </c>
      <c r="O51" s="32"/>
    </row>
    <row r="52" spans="1:15">
      <c r="A52" s="53" t="s">
        <v>149</v>
      </c>
      <c r="B52" s="62"/>
      <c r="C52" s="62"/>
      <c r="D52" s="62"/>
      <c r="E52" s="54"/>
      <c r="F52" s="54"/>
      <c r="G52" s="36"/>
      <c r="H52" s="36"/>
      <c r="I52" s="61"/>
      <c r="J52" s="121"/>
      <c r="K52" s="121"/>
      <c r="L52" s="60">
        <f>SUM(L31:L51)</f>
        <v>2520.3074544463116</v>
      </c>
      <c r="M52" s="59"/>
      <c r="N52" s="58">
        <f>SUM(N32:N51)</f>
        <v>42835.672051726353</v>
      </c>
      <c r="O52" s="37">
        <f>N52/L52</f>
        <v>16.996208925286442</v>
      </c>
    </row>
  </sheetData>
  <mergeCells count="2">
    <mergeCell ref="E2:M5"/>
    <mergeCell ref="A27:C27"/>
  </mergeCells>
  <pageMargins left="0.7" right="0.7" top="0.75" bottom="0.75" header="0.3" footer="0.3"/>
  <pageSetup paperSize="3" orientation="landscape" r:id="rId1"/>
  <headerFooter>
    <oddFooter>&amp;LSEE PRICIPLES OF GEOTECH 2ND EDITION BYBRAJA M. DAS 9.14 PAGE 414</oddFooter>
  </headerFooter>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dimension ref="A1:N42"/>
  <sheetViews>
    <sheetView topLeftCell="C1" zoomScale="85" zoomScaleNormal="85" workbookViewId="0">
      <selection activeCell="A21" sqref="A21:D21"/>
    </sheetView>
  </sheetViews>
  <sheetFormatPr defaultRowHeight="15"/>
  <cols>
    <col min="1" max="1" width="22.7109375" style="1" customWidth="1"/>
    <col min="2" max="4" width="14.5703125" style="57" customWidth="1"/>
    <col min="5" max="5" width="10.28515625" style="1" customWidth="1"/>
    <col min="6" max="6" width="12.140625" style="1" customWidth="1"/>
    <col min="8" max="8" width="6.42578125" customWidth="1"/>
    <col min="9" max="9" width="14.140625" customWidth="1"/>
    <col min="10" max="10" width="10.5703125" customWidth="1"/>
    <col min="11" max="11" width="9.85546875" customWidth="1"/>
    <col min="12" max="12" width="12.140625" customWidth="1"/>
    <col min="13" max="13" width="11.5703125" customWidth="1"/>
    <col min="14" max="14" width="15.5703125" customWidth="1"/>
  </cols>
  <sheetData>
    <row r="1" spans="1:6">
      <c r="A1" s="135" t="s">
        <v>148</v>
      </c>
      <c r="B1" s="131"/>
      <c r="C1" s="47"/>
      <c r="D1" s="132"/>
      <c r="E1"/>
      <c r="F1"/>
    </row>
    <row r="2" spans="1:6">
      <c r="A2" s="136" t="s">
        <v>143</v>
      </c>
      <c r="B2" s="63"/>
      <c r="C2" s="38"/>
      <c r="D2" s="48"/>
      <c r="E2"/>
      <c r="F2"/>
    </row>
    <row r="3" spans="1:6">
      <c r="A3" s="33"/>
      <c r="B3" s="63"/>
      <c r="C3" s="38"/>
      <c r="D3" s="48"/>
      <c r="E3"/>
      <c r="F3"/>
    </row>
    <row r="4" spans="1:6">
      <c r="A4" s="33" t="s">
        <v>179</v>
      </c>
      <c r="B4" s="63">
        <v>500</v>
      </c>
      <c r="C4" s="38" t="s">
        <v>1</v>
      </c>
      <c r="D4" s="48"/>
      <c r="E4"/>
      <c r="F4"/>
    </row>
    <row r="5" spans="1:6" ht="30">
      <c r="A5" s="33" t="s">
        <v>262</v>
      </c>
      <c r="B5" s="63">
        <v>0.35</v>
      </c>
      <c r="C5" s="38"/>
      <c r="D5" s="48"/>
      <c r="E5"/>
      <c r="F5"/>
    </row>
    <row r="6" spans="1:6">
      <c r="A6" s="33" t="s">
        <v>248</v>
      </c>
      <c r="B6" s="63">
        <v>3</v>
      </c>
      <c r="C6" s="38" t="s">
        <v>2</v>
      </c>
      <c r="D6" s="48"/>
      <c r="E6"/>
      <c r="F6"/>
    </row>
    <row r="7" spans="1:6">
      <c r="A7" s="33" t="s">
        <v>249</v>
      </c>
      <c r="B7" s="63">
        <v>10</v>
      </c>
      <c r="C7" s="38" t="s">
        <v>2</v>
      </c>
      <c r="D7" s="48"/>
      <c r="E7"/>
      <c r="F7"/>
    </row>
    <row r="8" spans="1:6" ht="45">
      <c r="A8" s="33" t="s">
        <v>178</v>
      </c>
      <c r="B8" s="63">
        <v>20</v>
      </c>
      <c r="C8" s="38" t="s">
        <v>2</v>
      </c>
      <c r="D8" s="48"/>
      <c r="E8"/>
      <c r="F8"/>
    </row>
    <row r="9" spans="1:6" ht="60">
      <c r="A9" s="33" t="s">
        <v>265</v>
      </c>
      <c r="B9" s="63">
        <v>1</v>
      </c>
      <c r="C9" s="38"/>
      <c r="D9" s="48"/>
      <c r="E9"/>
      <c r="F9"/>
    </row>
    <row r="10" spans="1:6">
      <c r="A10" s="33"/>
      <c r="B10" s="63"/>
      <c r="C10" s="38"/>
      <c r="D10" s="48"/>
      <c r="E10"/>
      <c r="F10"/>
    </row>
    <row r="11" spans="1:6">
      <c r="A11" s="136"/>
      <c r="B11" s="63"/>
      <c r="C11" s="63"/>
      <c r="D11" s="48"/>
      <c r="E11"/>
      <c r="F11"/>
    </row>
    <row r="12" spans="1:6" ht="30">
      <c r="A12" s="35" t="s">
        <v>177</v>
      </c>
      <c r="B12" s="63">
        <f>B6</f>
        <v>3</v>
      </c>
      <c r="C12" s="63"/>
      <c r="D12" s="48"/>
      <c r="E12"/>
      <c r="F12"/>
    </row>
    <row r="13" spans="1:6" ht="30">
      <c r="A13" s="35" t="s">
        <v>176</v>
      </c>
      <c r="B13" s="63">
        <f>B6+B7</f>
        <v>13</v>
      </c>
      <c r="C13" s="63"/>
      <c r="D13" s="48"/>
      <c r="E13"/>
      <c r="F13"/>
    </row>
    <row r="14" spans="1:6">
      <c r="A14" s="35"/>
      <c r="B14" s="63"/>
      <c r="C14" s="38"/>
      <c r="D14" s="48"/>
      <c r="E14"/>
      <c r="F14"/>
    </row>
    <row r="15" spans="1:6">
      <c r="A15" s="137" t="s">
        <v>171</v>
      </c>
      <c r="B15" s="63">
        <f>K42</f>
        <v>717.51131323680272</v>
      </c>
      <c r="C15" s="38" t="s">
        <v>144</v>
      </c>
      <c r="D15" s="48"/>
      <c r="E15"/>
      <c r="F15"/>
    </row>
    <row r="16" spans="1:6" ht="30">
      <c r="A16" s="133" t="s">
        <v>170</v>
      </c>
      <c r="B16" s="62">
        <f>N42</f>
        <v>8.1593747558980247</v>
      </c>
      <c r="C16" s="54" t="s">
        <v>2</v>
      </c>
      <c r="D16" s="134"/>
      <c r="E16"/>
      <c r="F16"/>
    </row>
    <row r="17" spans="1:14" ht="30">
      <c r="A17" s="1" t="s">
        <v>266</v>
      </c>
    </row>
    <row r="20" spans="1:14" s="142" customFormat="1" ht="30">
      <c r="A20" s="138" t="s">
        <v>169</v>
      </c>
      <c r="B20" s="70" t="s">
        <v>167</v>
      </c>
      <c r="C20" s="70" t="s">
        <v>168</v>
      </c>
      <c r="D20" s="70" t="s">
        <v>250</v>
      </c>
      <c r="E20" s="70" t="s">
        <v>166</v>
      </c>
      <c r="F20" s="70" t="s">
        <v>165</v>
      </c>
      <c r="G20" s="70" t="s">
        <v>164</v>
      </c>
      <c r="H20" s="70"/>
      <c r="I20" s="143" t="s">
        <v>263</v>
      </c>
      <c r="J20" s="143" t="s">
        <v>264</v>
      </c>
      <c r="K20" s="139" t="s">
        <v>5</v>
      </c>
      <c r="L20" s="140" t="s">
        <v>163</v>
      </c>
      <c r="M20" s="140" t="s">
        <v>162</v>
      </c>
      <c r="N20" s="141" t="s">
        <v>161</v>
      </c>
    </row>
    <row r="21" spans="1:14">
      <c r="A21" s="127">
        <v>90</v>
      </c>
      <c r="B21" s="130">
        <f t="shared" ref="B21" si="0">A21+D21/2</f>
        <v>90</v>
      </c>
      <c r="C21" s="128">
        <v>90</v>
      </c>
      <c r="D21" s="130">
        <f t="shared" ref="D21" si="1">C21-A21</f>
        <v>0</v>
      </c>
      <c r="E21" s="68">
        <v>0</v>
      </c>
      <c r="F21" s="68">
        <f t="shared" ref="F21:F41" si="2">E21*H</f>
        <v>0</v>
      </c>
      <c r="G21" s="67">
        <f t="shared" ref="G21:G41" si="3">H-F21</f>
        <v>20</v>
      </c>
      <c r="H21" s="66" t="s">
        <v>160</v>
      </c>
      <c r="I21" s="39">
        <f t="shared" ref="I21:I41" si="4">K*q/PI()*(RADIANS(D21)+SIN(RADIANS(D21))*COS(RADIANS(D21+2*A21)))</f>
        <v>0</v>
      </c>
      <c r="J21" s="39">
        <f t="shared" ref="J21:J41" si="5">I21*Ka</f>
        <v>0</v>
      </c>
      <c r="K21" s="67">
        <v>0</v>
      </c>
      <c r="L21" s="67">
        <f>G21-F21</f>
        <v>20</v>
      </c>
      <c r="M21" s="66"/>
      <c r="N21" s="65"/>
    </row>
    <row r="22" spans="1:14">
      <c r="A22" s="129">
        <f t="shared" ref="A22:A41" si="6">DEGREES(ATAN(x_1/F22))</f>
        <v>71.56505117707799</v>
      </c>
      <c r="B22" s="130">
        <f t="shared" ref="B22:B30" si="7">A22+D22/2</f>
        <v>78.583172911041231</v>
      </c>
      <c r="C22" s="130">
        <f t="shared" ref="C22:C41" si="8">DEGREES(ATAN(x_2/F22))</f>
        <v>85.601294645004472</v>
      </c>
      <c r="D22" s="130">
        <f t="shared" ref="D22:D30" si="9">C22-A22</f>
        <v>14.036243467926482</v>
      </c>
      <c r="E22" s="63">
        <v>0.05</v>
      </c>
      <c r="F22" s="68">
        <f t="shared" si="2"/>
        <v>1</v>
      </c>
      <c r="G22" s="67">
        <f t="shared" si="3"/>
        <v>19</v>
      </c>
      <c r="H22" s="31" t="s">
        <v>159</v>
      </c>
      <c r="I22" s="39">
        <f t="shared" si="4"/>
        <v>3.4137543799080552</v>
      </c>
      <c r="J22" s="39">
        <f t="shared" si="5"/>
        <v>1.1948140329678192</v>
      </c>
      <c r="K22" s="39">
        <f>((J22+J21)/2)*(G21-G22)</f>
        <v>0.59740701648390959</v>
      </c>
      <c r="L22" s="31">
        <f t="shared" ref="L22:L30" si="10">G21-((F22-F21)*(2*I22+I21))/(3*(I22+I21))</f>
        <v>19.333333333333332</v>
      </c>
      <c r="M22" s="31">
        <f t="shared" ref="M22:M30" si="11">K22*L22</f>
        <v>11.549868985355586</v>
      </c>
      <c r="N22" s="32"/>
    </row>
    <row r="23" spans="1:14">
      <c r="A23" s="129">
        <f t="shared" si="6"/>
        <v>56.309932474020215</v>
      </c>
      <c r="B23" s="130">
        <f t="shared" si="7"/>
        <v>68.781885105732499</v>
      </c>
      <c r="C23" s="130">
        <f t="shared" si="8"/>
        <v>81.253837737444798</v>
      </c>
      <c r="D23" s="130">
        <f t="shared" si="9"/>
        <v>24.943905263424583</v>
      </c>
      <c r="E23" s="63">
        <v>0.1</v>
      </c>
      <c r="F23" s="68">
        <f t="shared" si="2"/>
        <v>2</v>
      </c>
      <c r="G23" s="67">
        <f t="shared" si="3"/>
        <v>18</v>
      </c>
      <c r="H23" s="31" t="s">
        <v>158</v>
      </c>
      <c r="I23" s="39">
        <f t="shared" si="4"/>
        <v>19.751738153110352</v>
      </c>
      <c r="J23" s="39">
        <f t="shared" si="5"/>
        <v>6.9131083535886226</v>
      </c>
      <c r="K23" s="39">
        <f t="shared" ref="K23:K40" si="12">((J23+J22)/2)*(G22-G23)</f>
        <v>4.0539611932782211</v>
      </c>
      <c r="L23" s="31">
        <f t="shared" si="10"/>
        <v>18.382454590954517</v>
      </c>
      <c r="M23" s="31">
        <f t="shared" si="11"/>
        <v>74.52175754892869</v>
      </c>
      <c r="N23" s="32"/>
    </row>
    <row r="24" spans="1:14">
      <c r="A24" s="129">
        <f t="shared" si="6"/>
        <v>45</v>
      </c>
      <c r="B24" s="130">
        <f t="shared" si="7"/>
        <v>61.00269160404175</v>
      </c>
      <c r="C24" s="130">
        <f t="shared" si="8"/>
        <v>77.005383208083501</v>
      </c>
      <c r="D24" s="130">
        <f t="shared" si="9"/>
        <v>32.005383208083501</v>
      </c>
      <c r="E24" s="68">
        <v>0.15</v>
      </c>
      <c r="F24" s="68">
        <f t="shared" si="2"/>
        <v>3</v>
      </c>
      <c r="G24" s="67">
        <f t="shared" si="3"/>
        <v>17</v>
      </c>
      <c r="H24" s="31" t="s">
        <v>157</v>
      </c>
      <c r="I24" s="39">
        <f t="shared" si="4"/>
        <v>44.197397555941748</v>
      </c>
      <c r="J24" s="39">
        <f t="shared" si="5"/>
        <v>15.469089144579611</v>
      </c>
      <c r="K24" s="39">
        <f t="shared" si="12"/>
        <v>11.191098749084116</v>
      </c>
      <c r="L24" s="31">
        <f t="shared" si="10"/>
        <v>17.436288793867753</v>
      </c>
      <c r="M24" s="31">
        <f t="shared" si="11"/>
        <v>195.13122970972279</v>
      </c>
      <c r="N24" s="32"/>
    </row>
    <row r="25" spans="1:14">
      <c r="A25" s="129">
        <f t="shared" si="6"/>
        <v>36.86989764584402</v>
      </c>
      <c r="B25" s="130">
        <f t="shared" si="7"/>
        <v>54.883584338395828</v>
      </c>
      <c r="C25" s="130">
        <f t="shared" si="8"/>
        <v>72.897271030947635</v>
      </c>
      <c r="D25" s="130">
        <f t="shared" si="9"/>
        <v>36.027373385103616</v>
      </c>
      <c r="E25" s="63">
        <v>0.2</v>
      </c>
      <c r="F25" s="68">
        <f t="shared" si="2"/>
        <v>4</v>
      </c>
      <c r="G25" s="67">
        <f t="shared" si="3"/>
        <v>16</v>
      </c>
      <c r="H25" s="31" t="s">
        <v>156</v>
      </c>
      <c r="I25" s="39">
        <f t="shared" si="4"/>
        <v>68.417107960401481</v>
      </c>
      <c r="J25" s="39">
        <f t="shared" si="5"/>
        <v>23.945987786140517</v>
      </c>
      <c r="K25" s="39">
        <f t="shared" si="12"/>
        <v>19.707538465360063</v>
      </c>
      <c r="L25" s="31">
        <f t="shared" si="10"/>
        <v>16.464155431112225</v>
      </c>
      <c r="M25" s="31">
        <f t="shared" si="11"/>
        <v>324.46797645831094</v>
      </c>
      <c r="N25" s="32"/>
    </row>
    <row r="26" spans="1:14">
      <c r="A26" s="129">
        <f t="shared" si="6"/>
        <v>30.963756532073521</v>
      </c>
      <c r="B26" s="130">
        <f t="shared" si="7"/>
        <v>49.963122753325862</v>
      </c>
      <c r="C26" s="130">
        <f t="shared" si="8"/>
        <v>68.962488974578193</v>
      </c>
      <c r="D26" s="130">
        <f t="shared" si="9"/>
        <v>37.998732442504675</v>
      </c>
      <c r="E26" s="63">
        <v>0.25</v>
      </c>
      <c r="F26" s="68">
        <f t="shared" si="2"/>
        <v>5</v>
      </c>
      <c r="G26" s="67">
        <f t="shared" si="3"/>
        <v>15</v>
      </c>
      <c r="H26" s="31" t="s">
        <v>155</v>
      </c>
      <c r="I26" s="39">
        <f t="shared" si="4"/>
        <v>88.661728291390034</v>
      </c>
      <c r="J26" s="39">
        <f t="shared" si="5"/>
        <v>31.031604901986508</v>
      </c>
      <c r="K26" s="39">
        <f t="shared" si="12"/>
        <v>27.488796344063513</v>
      </c>
      <c r="L26" s="31">
        <f t="shared" si="10"/>
        <v>15.47851968177884</v>
      </c>
      <c r="M26" s="31">
        <f t="shared" si="11"/>
        <v>425.48587523999731</v>
      </c>
      <c r="N26" s="32"/>
    </row>
    <row r="27" spans="1:14">
      <c r="A27" s="129">
        <f t="shared" si="6"/>
        <v>26.56505117707799</v>
      </c>
      <c r="B27" s="130">
        <f t="shared" si="7"/>
        <v>45.894955304123037</v>
      </c>
      <c r="C27" s="130">
        <f t="shared" si="8"/>
        <v>65.224859431168085</v>
      </c>
      <c r="D27" s="130">
        <f t="shared" si="9"/>
        <v>38.659808254090095</v>
      </c>
      <c r="E27" s="68">
        <v>0.3</v>
      </c>
      <c r="F27" s="68">
        <f t="shared" si="2"/>
        <v>6</v>
      </c>
      <c r="G27" s="67">
        <f t="shared" si="3"/>
        <v>14</v>
      </c>
      <c r="H27" s="31" t="s">
        <v>154</v>
      </c>
      <c r="I27" s="39">
        <f t="shared" si="4"/>
        <v>104.28289395712928</v>
      </c>
      <c r="J27" s="39">
        <f t="shared" si="5"/>
        <v>36.499012884995246</v>
      </c>
      <c r="K27" s="39">
        <f t="shared" si="12"/>
        <v>33.765308893490875</v>
      </c>
      <c r="L27" s="31">
        <f t="shared" si="10"/>
        <v>14.486506347880466</v>
      </c>
      <c r="M27" s="31">
        <f t="shared" si="11"/>
        <v>489.14136162370033</v>
      </c>
      <c r="N27" s="32"/>
    </row>
    <row r="28" spans="1:14">
      <c r="A28" s="129">
        <f t="shared" si="6"/>
        <v>23.198590513648185</v>
      </c>
      <c r="B28" s="130">
        <f t="shared" si="7"/>
        <v>42.448917373820905</v>
      </c>
      <c r="C28" s="130">
        <f t="shared" si="8"/>
        <v>61.699244233993632</v>
      </c>
      <c r="D28" s="130">
        <f t="shared" si="9"/>
        <v>38.500653720345447</v>
      </c>
      <c r="E28" s="63">
        <v>0.35</v>
      </c>
      <c r="F28" s="68">
        <f t="shared" si="2"/>
        <v>7</v>
      </c>
      <c r="G28" s="67">
        <f t="shared" si="3"/>
        <v>13</v>
      </c>
      <c r="H28" s="31" t="s">
        <v>153</v>
      </c>
      <c r="I28" s="39">
        <f t="shared" si="4"/>
        <v>115.75743244472686</v>
      </c>
      <c r="J28" s="39">
        <f t="shared" si="5"/>
        <v>40.515101355654402</v>
      </c>
      <c r="K28" s="39">
        <f t="shared" si="12"/>
        <v>38.507057120324824</v>
      </c>
      <c r="L28" s="31">
        <f t="shared" si="10"/>
        <v>13.491308760932423</v>
      </c>
      <c r="M28" s="31">
        <f t="shared" si="11"/>
        <v>519.51059708516357</v>
      </c>
      <c r="N28" s="32"/>
    </row>
    <row r="29" spans="1:14">
      <c r="A29" s="129">
        <f t="shared" si="6"/>
        <v>20.556045219583467</v>
      </c>
      <c r="B29" s="130">
        <f t="shared" si="7"/>
        <v>39.474271486667284</v>
      </c>
      <c r="C29" s="130">
        <f t="shared" si="8"/>
        <v>58.392497753751101</v>
      </c>
      <c r="D29" s="130">
        <f t="shared" si="9"/>
        <v>37.836452534167634</v>
      </c>
      <c r="E29" s="63">
        <v>0.4</v>
      </c>
      <c r="F29" s="68">
        <f t="shared" si="2"/>
        <v>8</v>
      </c>
      <c r="G29" s="67">
        <f t="shared" si="3"/>
        <v>12</v>
      </c>
      <c r="H29" s="31" t="s">
        <v>152</v>
      </c>
      <c r="I29" s="39">
        <f t="shared" si="4"/>
        <v>123.81546047187796</v>
      </c>
      <c r="J29" s="39">
        <f t="shared" si="5"/>
        <v>43.335411165157282</v>
      </c>
      <c r="K29" s="39">
        <f t="shared" si="12"/>
        <v>41.925256260405845</v>
      </c>
      <c r="L29" s="31">
        <f t="shared" si="10"/>
        <v>12.494394170998055</v>
      </c>
      <c r="M29" s="31">
        <f t="shared" si="11"/>
        <v>523.83067743761444</v>
      </c>
      <c r="N29" s="32"/>
    </row>
    <row r="30" spans="1:14">
      <c r="A30" s="129">
        <f t="shared" si="6"/>
        <v>18.43494882292201</v>
      </c>
      <c r="B30" s="130">
        <f t="shared" si="7"/>
        <v>36.86989764584402</v>
      </c>
      <c r="C30" s="130">
        <f t="shared" si="8"/>
        <v>55.304846468766037</v>
      </c>
      <c r="D30" s="130">
        <f t="shared" si="9"/>
        <v>36.869897645844027</v>
      </c>
      <c r="E30" s="68">
        <v>0.45</v>
      </c>
      <c r="F30" s="68">
        <f t="shared" si="2"/>
        <v>9</v>
      </c>
      <c r="G30" s="67">
        <f t="shared" si="3"/>
        <v>11</v>
      </c>
      <c r="H30" s="31" t="s">
        <v>151</v>
      </c>
      <c r="I30" s="39">
        <f t="shared" si="4"/>
        <v>129.15441278900516</v>
      </c>
      <c r="J30" s="39">
        <f t="shared" si="5"/>
        <v>45.204044476151807</v>
      </c>
      <c r="K30" s="39">
        <f t="shared" si="12"/>
        <v>44.269727820654545</v>
      </c>
      <c r="L30" s="31">
        <f t="shared" si="10"/>
        <v>11.496482484753153</v>
      </c>
      <c r="M30" s="31">
        <f t="shared" si="11"/>
        <v>508.94615049494439</v>
      </c>
      <c r="N30" s="32"/>
    </row>
    <row r="31" spans="1:14">
      <c r="A31" s="129">
        <f t="shared" si="6"/>
        <v>16.699244233993621</v>
      </c>
      <c r="B31" s="130">
        <f t="shared" ref="B31:B41" si="13">A31+D31/2</f>
        <v>34.565326102583072</v>
      </c>
      <c r="C31" s="130">
        <f t="shared" si="8"/>
        <v>52.431407971172511</v>
      </c>
      <c r="D31" s="130">
        <f t="shared" ref="D31:D41" si="14">C31-A31</f>
        <v>35.732163737178894</v>
      </c>
      <c r="E31" s="63">
        <v>0.5</v>
      </c>
      <c r="F31" s="68">
        <f t="shared" si="2"/>
        <v>10</v>
      </c>
      <c r="G31" s="67">
        <f t="shared" si="3"/>
        <v>10</v>
      </c>
      <c r="H31" s="31" t="s">
        <v>150</v>
      </c>
      <c r="I31" s="39">
        <f t="shared" si="4"/>
        <v>132.36692586349039</v>
      </c>
      <c r="J31" s="39">
        <f t="shared" si="5"/>
        <v>46.328424052221635</v>
      </c>
      <c r="K31" s="39">
        <f t="shared" si="12"/>
        <v>45.766234264186721</v>
      </c>
      <c r="L31" s="31">
        <f t="shared" ref="L31:L41" si="15">G30-((F31-F30)*(2*I31+I30))/(3*(I31+I30))</f>
        <v>10.497952676257675</v>
      </c>
      <c r="M31" s="31">
        <f t="shared" ref="M31:M41" si="16">K31*L31</f>
        <v>480.4517614759547</v>
      </c>
      <c r="N31" s="32"/>
    </row>
    <row r="32" spans="1:14">
      <c r="A32" s="129">
        <f t="shared" si="6"/>
        <v>15.255118703057775</v>
      </c>
      <c r="B32" s="130">
        <f t="shared" si="13"/>
        <v>32.509380196891982</v>
      </c>
      <c r="C32" s="130">
        <f t="shared" si="8"/>
        <v>49.763641690726182</v>
      </c>
      <c r="D32" s="130">
        <f t="shared" si="14"/>
        <v>34.508522987668407</v>
      </c>
      <c r="E32" s="63">
        <v>0.55000000000000004</v>
      </c>
      <c r="F32" s="68">
        <f t="shared" si="2"/>
        <v>11</v>
      </c>
      <c r="G32" s="67">
        <f t="shared" si="3"/>
        <v>9</v>
      </c>
      <c r="H32" s="31" t="s">
        <v>252</v>
      </c>
      <c r="I32" s="39">
        <f t="shared" si="4"/>
        <v>133.93598937835998</v>
      </c>
      <c r="J32" s="39">
        <f t="shared" si="5"/>
        <v>46.877596282425991</v>
      </c>
      <c r="K32" s="39">
        <f t="shared" si="12"/>
        <v>46.603010167323816</v>
      </c>
      <c r="L32" s="31">
        <f t="shared" si="15"/>
        <v>9.4990179957828325</v>
      </c>
      <c r="M32" s="31">
        <f t="shared" si="16"/>
        <v>442.68283223705924</v>
      </c>
      <c r="N32" s="32"/>
    </row>
    <row r="33" spans="1:14">
      <c r="A33" s="129">
        <f t="shared" si="6"/>
        <v>14.036243467926479</v>
      </c>
      <c r="B33" s="130">
        <f t="shared" si="13"/>
        <v>30.663426755282504</v>
      </c>
      <c r="C33" s="130">
        <f t="shared" si="8"/>
        <v>47.290610042638527</v>
      </c>
      <c r="D33" s="130">
        <f t="shared" si="14"/>
        <v>33.254366574712051</v>
      </c>
      <c r="E33" s="68">
        <v>0.6</v>
      </c>
      <c r="F33" s="68">
        <f t="shared" si="2"/>
        <v>12</v>
      </c>
      <c r="G33" s="67">
        <f t="shared" si="3"/>
        <v>8</v>
      </c>
      <c r="H33" s="31" t="s">
        <v>253</v>
      </c>
      <c r="I33" s="39">
        <f t="shared" si="4"/>
        <v>134.24824900413356</v>
      </c>
      <c r="J33" s="39">
        <f t="shared" si="5"/>
        <v>46.986887151446744</v>
      </c>
      <c r="K33" s="39">
        <f t="shared" si="12"/>
        <v>46.932241716936367</v>
      </c>
      <c r="L33" s="31">
        <f t="shared" si="15"/>
        <v>8.4998059420968346</v>
      </c>
      <c r="M33" s="31">
        <f t="shared" si="16"/>
        <v>398.91494702154068</v>
      </c>
      <c r="N33" s="32"/>
    </row>
    <row r="34" spans="1:14">
      <c r="A34" s="129">
        <f t="shared" si="6"/>
        <v>12.994616791916506</v>
      </c>
      <c r="B34" s="130">
        <f t="shared" si="13"/>
        <v>28.997308395958253</v>
      </c>
      <c r="C34" s="130">
        <f t="shared" si="8"/>
        <v>45</v>
      </c>
      <c r="D34" s="130">
        <f t="shared" si="14"/>
        <v>32.005383208083494</v>
      </c>
      <c r="E34" s="63">
        <v>0.65</v>
      </c>
      <c r="F34" s="68">
        <f t="shared" si="2"/>
        <v>13</v>
      </c>
      <c r="G34" s="67">
        <f t="shared" si="3"/>
        <v>7</v>
      </c>
      <c r="H34" s="31" t="s">
        <v>254</v>
      </c>
      <c r="I34" s="39">
        <f t="shared" si="4"/>
        <v>133.61028693341103</v>
      </c>
      <c r="J34" s="39">
        <f t="shared" si="5"/>
        <v>46.763600426693856</v>
      </c>
      <c r="K34" s="39">
        <f t="shared" si="12"/>
        <v>46.875243789070296</v>
      </c>
      <c r="L34" s="31">
        <f t="shared" si="15"/>
        <v>7.5003969521128564</v>
      </c>
      <c r="M34" s="31">
        <f t="shared" si="16"/>
        <v>351.58293564508995</v>
      </c>
      <c r="N34" s="32"/>
    </row>
    <row r="35" spans="1:14">
      <c r="A35" s="129">
        <f t="shared" si="6"/>
        <v>12.094757077012101</v>
      </c>
      <c r="B35" s="130">
        <f t="shared" si="13"/>
        <v>27.486830340175324</v>
      </c>
      <c r="C35" s="130">
        <f t="shared" si="8"/>
        <v>42.87890360333855</v>
      </c>
      <c r="D35" s="130">
        <f t="shared" si="14"/>
        <v>30.784146526326449</v>
      </c>
      <c r="E35" s="63">
        <v>0.7</v>
      </c>
      <c r="F35" s="68">
        <f t="shared" si="2"/>
        <v>14</v>
      </c>
      <c r="G35" s="67">
        <f t="shared" si="3"/>
        <v>6</v>
      </c>
      <c r="H35" s="31" t="s">
        <v>255</v>
      </c>
      <c r="I35" s="39">
        <f t="shared" si="4"/>
        <v>132.26361501020625</v>
      </c>
      <c r="J35" s="39">
        <f t="shared" si="5"/>
        <v>46.292265253572182</v>
      </c>
      <c r="K35" s="39">
        <f t="shared" si="12"/>
        <v>46.527932840133019</v>
      </c>
      <c r="L35" s="31">
        <f t="shared" si="15"/>
        <v>6.5008441795862373</v>
      </c>
      <c r="M35" s="31">
        <f t="shared" si="16"/>
        <v>302.47084139195806</v>
      </c>
      <c r="N35" s="32"/>
    </row>
    <row r="36" spans="1:14">
      <c r="A36" s="129">
        <f t="shared" si="6"/>
        <v>11.309932474020215</v>
      </c>
      <c r="B36" s="130">
        <f t="shared" si="13"/>
        <v>26.112157847022672</v>
      </c>
      <c r="C36" s="130">
        <f t="shared" si="8"/>
        <v>40.91438322002513</v>
      </c>
      <c r="D36" s="130">
        <f t="shared" si="14"/>
        <v>29.604450746004915</v>
      </c>
      <c r="E36" s="68">
        <v>0.75</v>
      </c>
      <c r="F36" s="68">
        <f t="shared" si="2"/>
        <v>15</v>
      </c>
      <c r="G36" s="67">
        <f t="shared" si="3"/>
        <v>5</v>
      </c>
      <c r="H36" s="31" t="s">
        <v>256</v>
      </c>
      <c r="I36" s="39">
        <f t="shared" si="4"/>
        <v>130.3974440140108</v>
      </c>
      <c r="J36" s="39">
        <f t="shared" si="5"/>
        <v>45.639105404903781</v>
      </c>
      <c r="K36" s="39">
        <f t="shared" si="12"/>
        <v>45.965685329237985</v>
      </c>
      <c r="L36" s="31">
        <f t="shared" si="15"/>
        <v>5.5011841439325702</v>
      </c>
      <c r="M36" s="31">
        <f t="shared" si="16"/>
        <v>252.86569929819797</v>
      </c>
      <c r="N36" s="32"/>
    </row>
    <row r="37" spans="1:14">
      <c r="A37" s="129">
        <f t="shared" si="6"/>
        <v>10.619655276155134</v>
      </c>
      <c r="B37" s="130">
        <f t="shared" si="13"/>
        <v>24.856757081192313</v>
      </c>
      <c r="C37" s="130">
        <f t="shared" si="8"/>
        <v>39.093858886229498</v>
      </c>
      <c r="D37" s="130">
        <f t="shared" si="14"/>
        <v>28.474203610074362</v>
      </c>
      <c r="E37" s="63">
        <v>0.8</v>
      </c>
      <c r="F37" s="68">
        <f t="shared" si="2"/>
        <v>16</v>
      </c>
      <c r="G37" s="67">
        <f t="shared" si="3"/>
        <v>4</v>
      </c>
      <c r="H37" s="31" t="s">
        <v>257</v>
      </c>
      <c r="I37" s="39">
        <f t="shared" si="4"/>
        <v>128.15924642443812</v>
      </c>
      <c r="J37" s="39">
        <f t="shared" si="5"/>
        <v>44.855736248553342</v>
      </c>
      <c r="K37" s="39">
        <f t="shared" si="12"/>
        <v>45.247420826728558</v>
      </c>
      <c r="L37" s="31">
        <f t="shared" si="15"/>
        <v>4.5014427510305879</v>
      </c>
      <c r="M37" s="31">
        <f t="shared" si="16"/>
        <v>203.6786744833077</v>
      </c>
      <c r="N37" s="32"/>
    </row>
    <row r="38" spans="1:14">
      <c r="A38" s="129">
        <f t="shared" si="6"/>
        <v>10.007979801441339</v>
      </c>
      <c r="B38" s="130">
        <f t="shared" si="13"/>
        <v>23.706668216424944</v>
      </c>
      <c r="C38" s="130">
        <f t="shared" si="8"/>
        <v>37.405356631408551</v>
      </c>
      <c r="D38" s="130">
        <f t="shared" si="14"/>
        <v>27.397376829967214</v>
      </c>
      <c r="E38" s="63">
        <v>0.85</v>
      </c>
      <c r="F38" s="68">
        <f t="shared" si="2"/>
        <v>17</v>
      </c>
      <c r="G38" s="67">
        <f t="shared" si="3"/>
        <v>3</v>
      </c>
      <c r="H38" s="31" t="s">
        <v>258</v>
      </c>
      <c r="I38" s="39">
        <f t="shared" si="4"/>
        <v>125.66337056535818</v>
      </c>
      <c r="J38" s="39">
        <f t="shared" si="5"/>
        <v>43.98217969787536</v>
      </c>
      <c r="K38" s="39">
        <f t="shared" si="12"/>
        <v>44.418957973214347</v>
      </c>
      <c r="L38" s="31">
        <f t="shared" si="15"/>
        <v>3.5016388583286231</v>
      </c>
      <c r="M38" s="31">
        <f t="shared" si="16"/>
        <v>155.53914928547337</v>
      </c>
      <c r="N38" s="32"/>
    </row>
    <row r="39" spans="1:14">
      <c r="A39" s="129">
        <f t="shared" si="6"/>
        <v>9.4623222080256166</v>
      </c>
      <c r="B39" s="130">
        <f t="shared" si="13"/>
        <v>22.649987581151954</v>
      </c>
      <c r="C39" s="130">
        <f t="shared" si="8"/>
        <v>35.83765295427829</v>
      </c>
      <c r="D39" s="130">
        <f t="shared" si="14"/>
        <v>26.375330746252672</v>
      </c>
      <c r="E39" s="68">
        <v>0.9</v>
      </c>
      <c r="F39" s="68">
        <f t="shared" si="2"/>
        <v>18</v>
      </c>
      <c r="G39" s="67">
        <f t="shared" si="3"/>
        <v>2</v>
      </c>
      <c r="H39" s="31" t="s">
        <v>259</v>
      </c>
      <c r="I39" s="39">
        <f t="shared" si="4"/>
        <v>122.99800074419717</v>
      </c>
      <c r="J39" s="39">
        <f t="shared" si="5"/>
        <v>43.04930026046901</v>
      </c>
      <c r="K39" s="39">
        <f t="shared" si="12"/>
        <v>43.515739979172182</v>
      </c>
      <c r="L39" s="31">
        <f t="shared" si="15"/>
        <v>2.5017864789419737</v>
      </c>
      <c r="M39" s="31">
        <f t="shared" si="16"/>
        <v>108.86708990104765</v>
      </c>
      <c r="N39" s="32"/>
    </row>
    <row r="40" spans="1:14">
      <c r="A40" s="129">
        <f t="shared" si="6"/>
        <v>8.9726266148963933</v>
      </c>
      <c r="B40" s="130">
        <f t="shared" si="13"/>
        <v>21.676485669370635</v>
      </c>
      <c r="C40" s="130">
        <f t="shared" si="8"/>
        <v>34.380344723844871</v>
      </c>
      <c r="D40" s="130">
        <f t="shared" si="14"/>
        <v>25.40771810894848</v>
      </c>
      <c r="E40" s="63">
        <v>0.95</v>
      </c>
      <c r="F40" s="68">
        <f t="shared" si="2"/>
        <v>19</v>
      </c>
      <c r="G40" s="67">
        <f t="shared" si="3"/>
        <v>1</v>
      </c>
      <c r="H40" s="31" t="s">
        <v>260</v>
      </c>
      <c r="I40" s="39">
        <f t="shared" si="4"/>
        <v>120.23073986876274</v>
      </c>
      <c r="J40" s="39">
        <f t="shared" si="5"/>
        <v>42.080758954066958</v>
      </c>
      <c r="K40" s="39">
        <f t="shared" si="12"/>
        <v>42.565029607267988</v>
      </c>
      <c r="L40" s="31">
        <f t="shared" si="15"/>
        <v>1.5018961992104365</v>
      </c>
      <c r="M40" s="31">
        <f t="shared" si="16"/>
        <v>63.92825618643549</v>
      </c>
      <c r="N40" s="32"/>
    </row>
    <row r="41" spans="1:14">
      <c r="A41" s="129">
        <f t="shared" si="6"/>
        <v>8.5307656099481335</v>
      </c>
      <c r="B41" s="130">
        <f t="shared" si="13"/>
        <v>20.777316582872391</v>
      </c>
      <c r="C41" s="130">
        <f t="shared" si="8"/>
        <v>33.023867555796649</v>
      </c>
      <c r="D41" s="130">
        <f t="shared" si="14"/>
        <v>24.493101945848515</v>
      </c>
      <c r="E41" s="63">
        <v>1</v>
      </c>
      <c r="F41" s="68">
        <f t="shared" si="2"/>
        <v>20</v>
      </c>
      <c r="G41" s="67">
        <f t="shared" si="3"/>
        <v>0</v>
      </c>
      <c r="H41" s="31" t="s">
        <v>261</v>
      </c>
      <c r="I41" s="39">
        <f t="shared" si="4"/>
        <v>117.41305944772635</v>
      </c>
      <c r="J41" s="39">
        <f t="shared" si="5"/>
        <v>41.094570806704219</v>
      </c>
      <c r="K41" s="39">
        <f>((J41+J40)/2)*(G40-G41)</f>
        <v>41.587664880385589</v>
      </c>
      <c r="L41" s="31">
        <f t="shared" si="15"/>
        <v>0.50197612310885775</v>
      </c>
      <c r="M41" s="31">
        <f t="shared" si="16"/>
        <v>20.876014785806355</v>
      </c>
      <c r="N41" s="32"/>
    </row>
    <row r="42" spans="1:14">
      <c r="A42" s="53" t="s">
        <v>149</v>
      </c>
      <c r="B42" s="62"/>
      <c r="C42" s="62"/>
      <c r="D42" s="62"/>
      <c r="E42" s="54"/>
      <c r="F42" s="54"/>
      <c r="G42" s="36"/>
      <c r="H42" s="36"/>
      <c r="I42" s="61"/>
      <c r="J42" s="121"/>
      <c r="K42" s="60">
        <f>SUM(K21:K41)</f>
        <v>717.51131323680272</v>
      </c>
      <c r="L42" s="59"/>
      <c r="M42" s="58">
        <f>SUM(M22:M41)</f>
        <v>5854.4436962956088</v>
      </c>
      <c r="N42" s="37">
        <f>M42/K42</f>
        <v>8.1593747558980247</v>
      </c>
    </row>
  </sheetData>
  <pageMargins left="0.7" right="0.7" top="0.75" bottom="0.75" header="0.3" footer="0.3"/>
  <pageSetup paperSize="3" orientation="landscape" r:id="rId1"/>
  <headerFooter>
    <oddFooter>&amp;LSEE PRICIPLES OF GEOTECH 2ND EDITION BYBRAJA M. DAS 9.14 PAGE 414</oddFooter>
  </headerFooter>
  <rowBreaks count="1" manualBreakCount="1">
    <brk id="17" max="16383" man="1"/>
  </rowBreaks>
  <drawing r:id="rId2"/>
</worksheet>
</file>

<file path=xl/worksheets/sheet7.xml><?xml version="1.0" encoding="utf-8"?>
<worksheet xmlns="http://schemas.openxmlformats.org/spreadsheetml/2006/main" xmlns:r="http://schemas.openxmlformats.org/officeDocument/2006/relationships">
  <dimension ref="A1:N49"/>
  <sheetViews>
    <sheetView topLeftCell="A16" zoomScale="85" zoomScaleNormal="85" workbookViewId="0">
      <selection activeCell="A28" sqref="A28:D28"/>
    </sheetView>
  </sheetViews>
  <sheetFormatPr defaultRowHeight="15"/>
  <cols>
    <col min="1" max="1" width="22.7109375" style="1" customWidth="1"/>
    <col min="2" max="4" width="14.5703125" style="57" customWidth="1"/>
    <col min="5" max="5" width="10.28515625" style="1" customWidth="1"/>
    <col min="6" max="6" width="12.140625" style="1" customWidth="1"/>
    <col min="8" max="8" width="6.42578125" customWidth="1"/>
    <col min="9" max="10" width="10.5703125" customWidth="1"/>
    <col min="11" max="11" width="9.85546875" customWidth="1"/>
    <col min="12" max="12" width="12.140625" customWidth="1"/>
    <col min="13" max="13" width="11.5703125" customWidth="1"/>
    <col min="14" max="14" width="15.5703125" customWidth="1"/>
  </cols>
  <sheetData>
    <row r="1" spans="1:12" ht="23.25" customHeight="1">
      <c r="A1" s="135" t="s">
        <v>148</v>
      </c>
      <c r="B1" s="131"/>
      <c r="C1" s="47"/>
      <c r="D1" s="132"/>
      <c r="E1"/>
      <c r="F1"/>
    </row>
    <row r="2" spans="1:12" ht="15" customHeight="1">
      <c r="A2" s="136" t="s">
        <v>143</v>
      </c>
      <c r="B2" s="63"/>
      <c r="C2" s="38"/>
      <c r="D2" s="48"/>
      <c r="E2" s="162" t="s">
        <v>302</v>
      </c>
      <c r="F2" s="163"/>
      <c r="G2" s="163"/>
      <c r="H2" s="163"/>
      <c r="I2" s="163"/>
      <c r="J2" s="163"/>
      <c r="K2" s="163"/>
      <c r="L2" s="163"/>
    </row>
    <row r="3" spans="1:12" ht="24" customHeight="1">
      <c r="A3" s="33"/>
      <c r="B3" s="63"/>
      <c r="C3" s="38"/>
      <c r="D3" s="48"/>
      <c r="E3" s="162"/>
      <c r="F3" s="163"/>
      <c r="G3" s="163"/>
      <c r="H3" s="163"/>
      <c r="I3" s="163"/>
      <c r="J3" s="163"/>
      <c r="K3" s="163"/>
      <c r="L3" s="163"/>
    </row>
    <row r="4" spans="1:12" ht="24" customHeight="1">
      <c r="A4" s="155" t="s">
        <v>301</v>
      </c>
      <c r="B4" s="63"/>
      <c r="C4" s="38"/>
      <c r="D4" s="48"/>
      <c r="E4" s="162"/>
      <c r="F4" s="163"/>
      <c r="G4" s="163"/>
      <c r="H4" s="163"/>
      <c r="I4" s="163"/>
      <c r="J4" s="163"/>
      <c r="K4" s="163"/>
      <c r="L4" s="163"/>
    </row>
    <row r="5" spans="1:12" ht="19.5" customHeight="1">
      <c r="A5" s="33" t="s">
        <v>299</v>
      </c>
      <c r="B5" s="63">
        <v>1778</v>
      </c>
      <c r="C5" s="38" t="s">
        <v>1</v>
      </c>
      <c r="D5" s="48"/>
      <c r="E5" s="162"/>
      <c r="F5" s="163"/>
      <c r="G5" s="163"/>
      <c r="H5" s="163"/>
      <c r="I5" s="163"/>
      <c r="J5" s="163"/>
      <c r="K5" s="163"/>
      <c r="L5" s="163"/>
    </row>
    <row r="6" spans="1:12" ht="31.5" customHeight="1">
      <c r="A6" s="33" t="s">
        <v>262</v>
      </c>
      <c r="B6" s="63">
        <v>0.35</v>
      </c>
      <c r="C6" s="38"/>
      <c r="D6" s="48"/>
      <c r="E6" s="156"/>
      <c r="F6" s="156"/>
      <c r="G6" s="156"/>
      <c r="H6" s="156"/>
      <c r="I6" s="156"/>
      <c r="J6" s="156"/>
      <c r="K6" s="156"/>
      <c r="L6" s="156"/>
    </row>
    <row r="7" spans="1:12" ht="45">
      <c r="A7" s="33" t="s">
        <v>297</v>
      </c>
      <c r="B7" s="63">
        <v>8.3000000000000007</v>
      </c>
      <c r="C7" s="38" t="s">
        <v>2</v>
      </c>
      <c r="D7" s="48"/>
      <c r="E7"/>
      <c r="F7"/>
    </row>
    <row r="8" spans="1:12" ht="30">
      <c r="A8" s="33" t="s">
        <v>298</v>
      </c>
      <c r="B8" s="63">
        <v>4.7699999999999996</v>
      </c>
      <c r="C8" s="38" t="s">
        <v>2</v>
      </c>
      <c r="D8" s="48"/>
      <c r="E8"/>
      <c r="F8"/>
    </row>
    <row r="9" spans="1:12">
      <c r="A9" s="33" t="s">
        <v>249</v>
      </c>
      <c r="B9" s="57">
        <v>9</v>
      </c>
      <c r="C9" s="38" t="s">
        <v>2</v>
      </c>
      <c r="D9" s="48"/>
      <c r="E9"/>
      <c r="F9"/>
    </row>
    <row r="10" spans="1:12" ht="45">
      <c r="A10" s="33" t="s">
        <v>178</v>
      </c>
      <c r="B10" s="63">
        <v>5.67</v>
      </c>
      <c r="C10" s="38" t="s">
        <v>2</v>
      </c>
      <c r="D10" s="48"/>
      <c r="E10"/>
      <c r="F10"/>
    </row>
    <row r="11" spans="1:12" ht="30">
      <c r="A11" s="33" t="s">
        <v>289</v>
      </c>
      <c r="B11" s="63">
        <v>0.5</v>
      </c>
      <c r="C11" s="38" t="s">
        <v>291</v>
      </c>
      <c r="D11" s="48"/>
      <c r="E11"/>
      <c r="F11"/>
    </row>
    <row r="12" spans="1:12" ht="60">
      <c r="A12" s="33" t="s">
        <v>275</v>
      </c>
      <c r="B12" s="63">
        <v>2</v>
      </c>
      <c r="C12" s="38"/>
      <c r="D12" s="48"/>
      <c r="E12"/>
      <c r="F12"/>
    </row>
    <row r="13" spans="1:12" ht="30">
      <c r="A13" s="155" t="s">
        <v>292</v>
      </c>
      <c r="C13" s="38"/>
      <c r="D13" s="48"/>
      <c r="E13"/>
      <c r="F13"/>
    </row>
    <row r="14" spans="1:12">
      <c r="A14" s="52" t="s">
        <v>294</v>
      </c>
      <c r="B14" s="63">
        <f>x_qi+2*MIN(y_1*Sq,x_1i)</f>
        <v>13.77</v>
      </c>
      <c r="C14" s="38" t="s">
        <v>2</v>
      </c>
      <c r="D14" s="48"/>
      <c r="E14"/>
      <c r="F14"/>
    </row>
    <row r="15" spans="1:12" ht="15.75" customHeight="1">
      <c r="A15" s="52" t="s">
        <v>293</v>
      </c>
      <c r="B15" s="63">
        <f>x_1i-y_1*Sq</f>
        <v>5.9150000000000009</v>
      </c>
      <c r="C15" s="38" t="s">
        <v>2</v>
      </c>
      <c r="D15" s="48"/>
      <c r="E15"/>
      <c r="F15"/>
    </row>
    <row r="16" spans="1:12" ht="15.75" customHeight="1">
      <c r="A16" s="52" t="s">
        <v>295</v>
      </c>
      <c r="B16" s="63">
        <f>qi*x_qi/x_qbs</f>
        <v>1162.0915032679738</v>
      </c>
      <c r="C16" s="38" t="s">
        <v>1</v>
      </c>
      <c r="D16" s="48"/>
      <c r="E16"/>
      <c r="F16"/>
    </row>
    <row r="17" spans="1:14">
      <c r="A17" s="52" t="s">
        <v>296</v>
      </c>
      <c r="B17" s="63" t="str">
        <f>IF(x_1i&lt;H*Sq,"load intersects above wall", "OK")</f>
        <v>OK</v>
      </c>
      <c r="C17" s="38"/>
      <c r="D17" s="48"/>
      <c r="E17"/>
      <c r="F17"/>
    </row>
    <row r="18" spans="1:14">
      <c r="A18" s="33"/>
      <c r="B18" s="63"/>
      <c r="C18" s="38"/>
      <c r="D18" s="48"/>
      <c r="E18"/>
      <c r="F18"/>
    </row>
    <row r="19" spans="1:14" ht="30">
      <c r="A19" s="35" t="s">
        <v>177</v>
      </c>
      <c r="B19" s="63">
        <f>B15</f>
        <v>5.9150000000000009</v>
      </c>
      <c r="C19" s="63"/>
      <c r="D19" s="48"/>
      <c r="E19"/>
      <c r="F19"/>
    </row>
    <row r="20" spans="1:14" ht="30">
      <c r="A20" s="35" t="s">
        <v>176</v>
      </c>
      <c r="B20" s="63">
        <f>B15+B14</f>
        <v>19.685000000000002</v>
      </c>
      <c r="C20" s="63"/>
      <c r="D20" s="48"/>
      <c r="E20"/>
      <c r="F20"/>
    </row>
    <row r="21" spans="1:14">
      <c r="A21" s="137"/>
      <c r="B21" s="63"/>
      <c r="C21" s="38"/>
      <c r="D21" s="48"/>
      <c r="E21"/>
      <c r="F21"/>
    </row>
    <row r="22" spans="1:14">
      <c r="A22" s="137" t="s">
        <v>276</v>
      </c>
      <c r="B22" s="63">
        <f>K49</f>
        <v>118.49274979023642</v>
      </c>
      <c r="C22" s="38" t="s">
        <v>144</v>
      </c>
      <c r="D22" s="48"/>
      <c r="E22"/>
      <c r="F22"/>
    </row>
    <row r="23" spans="1:14" ht="30">
      <c r="A23" s="133" t="s">
        <v>170</v>
      </c>
      <c r="B23" s="62">
        <f>N49</f>
        <v>1.3166697531997698</v>
      </c>
      <c r="C23" s="54" t="s">
        <v>2</v>
      </c>
      <c r="D23" s="134"/>
      <c r="E23"/>
      <c r="F23"/>
    </row>
    <row r="24" spans="1:14" ht="16.5" customHeight="1">
      <c r="A24" s="161" t="s">
        <v>290</v>
      </c>
      <c r="B24" s="161"/>
      <c r="C24" s="161"/>
    </row>
    <row r="27" spans="1:14" s="142" customFormat="1" ht="30">
      <c r="A27" s="138" t="s">
        <v>169</v>
      </c>
      <c r="B27" s="70" t="s">
        <v>167</v>
      </c>
      <c r="C27" s="70" t="s">
        <v>168</v>
      </c>
      <c r="D27" s="70" t="s">
        <v>250</v>
      </c>
      <c r="E27" s="70" t="s">
        <v>166</v>
      </c>
      <c r="F27" s="70" t="s">
        <v>165</v>
      </c>
      <c r="G27" s="70" t="s">
        <v>164</v>
      </c>
      <c r="H27" s="70"/>
      <c r="I27" s="143" t="s">
        <v>263</v>
      </c>
      <c r="J27" s="143" t="s">
        <v>264</v>
      </c>
      <c r="K27" s="139" t="s">
        <v>5</v>
      </c>
      <c r="L27" s="140" t="s">
        <v>163</v>
      </c>
      <c r="M27" s="140" t="s">
        <v>162</v>
      </c>
      <c r="N27" s="141" t="s">
        <v>161</v>
      </c>
    </row>
    <row r="28" spans="1:14">
      <c r="A28" s="127">
        <v>90</v>
      </c>
      <c r="B28" s="130">
        <f t="shared" ref="B28" si="0">A28+D28/2</f>
        <v>90</v>
      </c>
      <c r="C28" s="128">
        <v>90</v>
      </c>
      <c r="D28" s="130">
        <f t="shared" ref="D28" si="1">C28-A28</f>
        <v>0</v>
      </c>
      <c r="E28" s="68">
        <v>0</v>
      </c>
      <c r="F28" s="68">
        <f t="shared" ref="F28:F48" si="2">E28*H</f>
        <v>0</v>
      </c>
      <c r="G28" s="67">
        <f t="shared" ref="G28:G48" si="3">H-F28</f>
        <v>5.67</v>
      </c>
      <c r="H28" s="66" t="s">
        <v>160</v>
      </c>
      <c r="I28" s="39">
        <f t="shared" ref="I28:I48" si="4">K*q/PI()*(RADIANS(D28)+SIN(RADIANS(D28))*COS(RADIANS(D28+2*A28)))</f>
        <v>0</v>
      </c>
      <c r="J28" s="39">
        <f t="shared" ref="J28:J48" si="5">I28*Kae</f>
        <v>0</v>
      </c>
      <c r="K28" s="67">
        <v>0</v>
      </c>
      <c r="L28" s="67">
        <f>G28-F28</f>
        <v>5.67</v>
      </c>
      <c r="M28" s="66"/>
      <c r="N28" s="65"/>
    </row>
    <row r="29" spans="1:14">
      <c r="A29" s="129">
        <f t="shared" ref="A29:A48" si="6">DEGREES(ATAN(x_1/F29))</f>
        <v>87.255970821208479</v>
      </c>
      <c r="B29" s="130">
        <f t="shared" ref="B29:B48" si="7">A29+D29/2</f>
        <v>88.215431928107222</v>
      </c>
      <c r="C29" s="130">
        <f t="shared" ref="C29:C48" si="8">DEGREES(ATAN(x_2/F29))</f>
        <v>89.174893035005951</v>
      </c>
      <c r="D29" s="130">
        <f t="shared" ref="D29:D48" si="9">C29-A29</f>
        <v>1.9189222137974724</v>
      </c>
      <c r="E29" s="63">
        <v>0.05</v>
      </c>
      <c r="F29" s="68">
        <f t="shared" si="2"/>
        <v>0.28350000000000003</v>
      </c>
      <c r="G29" s="67">
        <f t="shared" si="3"/>
        <v>5.3864999999999998</v>
      </c>
      <c r="H29" s="31" t="s">
        <v>159</v>
      </c>
      <c r="I29" s="39">
        <f t="shared" si="4"/>
        <v>5.2680810439008248E-2</v>
      </c>
      <c r="J29" s="39">
        <f t="shared" si="5"/>
        <v>1.8438283653652885E-2</v>
      </c>
      <c r="K29" s="39">
        <f>((J29+J28)/2)*(G28-G29)</f>
        <v>2.6136267079052973E-3</v>
      </c>
      <c r="L29" s="31">
        <f t="shared" ref="L29:L48" si="10">G28-((F29-F28)*(2*I29+I28))/(3*(I29+I28))</f>
        <v>5.4809999999999999</v>
      </c>
      <c r="M29" s="31">
        <f t="shared" ref="M29:M48" si="11">K29*L29</f>
        <v>1.4325287986028935E-2</v>
      </c>
      <c r="N29" s="32"/>
    </row>
    <row r="30" spans="1:14">
      <c r="A30" s="129">
        <f t="shared" si="6"/>
        <v>84.524472040286753</v>
      </c>
      <c r="B30" s="130">
        <f t="shared" si="7"/>
        <v>86.437300098192253</v>
      </c>
      <c r="C30" s="130">
        <f t="shared" si="8"/>
        <v>88.350128156097767</v>
      </c>
      <c r="D30" s="130">
        <f t="shared" si="9"/>
        <v>3.8256561158110145</v>
      </c>
      <c r="E30" s="63">
        <v>0.1</v>
      </c>
      <c r="F30" s="68">
        <f t="shared" si="2"/>
        <v>0.56700000000000006</v>
      </c>
      <c r="G30" s="67">
        <f t="shared" si="3"/>
        <v>5.1029999999999998</v>
      </c>
      <c r="H30" s="31" t="s">
        <v>158</v>
      </c>
      <c r="I30" s="39">
        <f t="shared" si="4"/>
        <v>0.41790641213410468</v>
      </c>
      <c r="J30" s="39">
        <f t="shared" si="5"/>
        <v>0.14626724424693663</v>
      </c>
      <c r="K30" s="39">
        <f t="shared" ref="K30:K47" si="12">((J30+J29)/2)*(G29-G30)</f>
        <v>2.3347008579908572E-2</v>
      </c>
      <c r="L30" s="31">
        <f t="shared" si="10"/>
        <v>5.2080789880126055</v>
      </c>
      <c r="M30" s="31">
        <f t="shared" si="11"/>
        <v>0.12159306481797186</v>
      </c>
      <c r="N30" s="32"/>
    </row>
    <row r="31" spans="1:14">
      <c r="A31" s="129">
        <f t="shared" si="6"/>
        <v>81.817694100723259</v>
      </c>
      <c r="B31" s="130">
        <f t="shared" si="7"/>
        <v>84.671870349941486</v>
      </c>
      <c r="C31" s="130">
        <f t="shared" si="8"/>
        <v>87.526046599159699</v>
      </c>
      <c r="D31" s="130">
        <f t="shared" si="9"/>
        <v>5.7083524984364402</v>
      </c>
      <c r="E31" s="68">
        <v>0.15</v>
      </c>
      <c r="F31" s="68">
        <f t="shared" si="2"/>
        <v>0.85049999999999992</v>
      </c>
      <c r="G31" s="67">
        <f t="shared" si="3"/>
        <v>4.8194999999999997</v>
      </c>
      <c r="H31" s="31" t="s">
        <v>157</v>
      </c>
      <c r="I31" s="39">
        <f t="shared" si="4"/>
        <v>1.3909061115959742</v>
      </c>
      <c r="J31" s="39">
        <f t="shared" si="5"/>
        <v>0.48681713905859092</v>
      </c>
      <c r="K31" s="39">
        <f t="shared" si="12"/>
        <v>8.9739711333558556E-2</v>
      </c>
      <c r="L31" s="31">
        <f t="shared" si="10"/>
        <v>4.9358331946669809</v>
      </c>
      <c r="M31" s="31">
        <f t="shared" si="11"/>
        <v>0.44294024608001098</v>
      </c>
      <c r="N31" s="32"/>
    </row>
    <row r="32" spans="1:14">
      <c r="A32" s="129">
        <f t="shared" si="6"/>
        <v>79.147170269872078</v>
      </c>
      <c r="B32" s="130">
        <f t="shared" si="7"/>
        <v>82.925079087410353</v>
      </c>
      <c r="C32" s="130">
        <f t="shared" si="8"/>
        <v>86.702987904948614</v>
      </c>
      <c r="D32" s="130">
        <f t="shared" si="9"/>
        <v>7.5558176350765365</v>
      </c>
      <c r="E32" s="63">
        <v>0.2</v>
      </c>
      <c r="F32" s="68">
        <f t="shared" si="2"/>
        <v>1.1340000000000001</v>
      </c>
      <c r="G32" s="67">
        <f t="shared" si="3"/>
        <v>4.5359999999999996</v>
      </c>
      <c r="H32" s="31" t="s">
        <v>156</v>
      </c>
      <c r="I32" s="39">
        <f t="shared" si="4"/>
        <v>3.2340082937884969</v>
      </c>
      <c r="J32" s="39">
        <f t="shared" si="5"/>
        <v>1.1319029028259737</v>
      </c>
      <c r="K32" s="39">
        <f t="shared" si="12"/>
        <v>0.22945356593713712</v>
      </c>
      <c r="L32" s="31">
        <f t="shared" si="10"/>
        <v>4.6589201211146287</v>
      </c>
      <c r="M32" s="31">
        <f t="shared" si="11"/>
        <v>1.0690058352060303</v>
      </c>
      <c r="N32" s="32"/>
    </row>
    <row r="33" spans="1:14">
      <c r="A33" s="129">
        <f t="shared" si="6"/>
        <v>76.523502096563362</v>
      </c>
      <c r="B33" s="130">
        <f t="shared" si="7"/>
        <v>81.202395590610848</v>
      </c>
      <c r="C33" s="130">
        <f t="shared" si="8"/>
        <v>85.881289084658349</v>
      </c>
      <c r="D33" s="130">
        <f t="shared" si="9"/>
        <v>9.3577869880949862</v>
      </c>
      <c r="E33" s="63">
        <v>0.25</v>
      </c>
      <c r="F33" s="68">
        <f t="shared" si="2"/>
        <v>1.4175</v>
      </c>
      <c r="G33" s="67">
        <f t="shared" si="3"/>
        <v>4.2524999999999995</v>
      </c>
      <c r="H33" s="31" t="s">
        <v>155</v>
      </c>
      <c r="I33" s="39">
        <f t="shared" si="4"/>
        <v>6.16423447864958</v>
      </c>
      <c r="J33" s="39">
        <f t="shared" si="5"/>
        <v>2.1574820675273529</v>
      </c>
      <c r="K33" s="39">
        <f t="shared" si="12"/>
        <v>0.46627031954758419</v>
      </c>
      <c r="L33" s="31">
        <f t="shared" si="10"/>
        <v>4.3795181835756862</v>
      </c>
      <c r="M33" s="31">
        <f t="shared" si="11"/>
        <v>2.0420393429202908</v>
      </c>
      <c r="N33" s="32"/>
    </row>
    <row r="34" spans="1:14">
      <c r="A34" s="129">
        <f t="shared" si="6"/>
        <v>73.95614245961022</v>
      </c>
      <c r="B34" s="130">
        <f t="shared" si="7"/>
        <v>79.508713130339345</v>
      </c>
      <c r="C34" s="130">
        <f t="shared" si="8"/>
        <v>85.06128380106847</v>
      </c>
      <c r="D34" s="130">
        <f t="shared" si="9"/>
        <v>11.10514134145825</v>
      </c>
      <c r="E34" s="68">
        <v>0.3</v>
      </c>
      <c r="F34" s="68">
        <f t="shared" si="2"/>
        <v>1.7009999999999998</v>
      </c>
      <c r="G34" s="67">
        <f t="shared" si="3"/>
        <v>3.9690000000000003</v>
      </c>
      <c r="H34" s="31" t="s">
        <v>154</v>
      </c>
      <c r="I34" s="39">
        <f t="shared" si="4"/>
        <v>10.345028069228617</v>
      </c>
      <c r="J34" s="39">
        <f t="shared" si="5"/>
        <v>3.6207598242300154</v>
      </c>
      <c r="K34" s="39">
        <f t="shared" si="12"/>
        <v>0.81906578815660458</v>
      </c>
      <c r="L34" s="31">
        <f t="shared" si="10"/>
        <v>4.0987844445076229</v>
      </c>
      <c r="M34" s="31">
        <f t="shared" si="11"/>
        <v>3.3571741115246669</v>
      </c>
      <c r="N34" s="32"/>
    </row>
    <row r="35" spans="1:14">
      <c r="A35" s="129">
        <f t="shared" si="6"/>
        <v>71.453244759718061</v>
      </c>
      <c r="B35" s="130">
        <f t="shared" si="7"/>
        <v>77.848273164955231</v>
      </c>
      <c r="C35" s="130">
        <f t="shared" si="8"/>
        <v>84.243301570192415</v>
      </c>
      <c r="D35" s="130">
        <f t="shared" si="9"/>
        <v>12.790056810474354</v>
      </c>
      <c r="E35" s="63">
        <v>0.35</v>
      </c>
      <c r="F35" s="68">
        <f t="shared" si="2"/>
        <v>1.9844999999999999</v>
      </c>
      <c r="G35" s="67">
        <f t="shared" si="3"/>
        <v>3.6855000000000002</v>
      </c>
      <c r="H35" s="31" t="s">
        <v>153</v>
      </c>
      <c r="I35" s="39">
        <f t="shared" si="4"/>
        <v>15.882477122006829</v>
      </c>
      <c r="J35" s="39">
        <f t="shared" si="5"/>
        <v>5.5588669927023897</v>
      </c>
      <c r="K35" s="39">
        <f t="shared" si="12"/>
        <v>1.3012121013001687</v>
      </c>
      <c r="L35" s="31">
        <f t="shared" si="10"/>
        <v>3.8172740428574503</v>
      </c>
      <c r="M35" s="31">
        <f t="shared" si="11"/>
        <v>4.967083178545133</v>
      </c>
      <c r="N35" s="32"/>
    </row>
    <row r="36" spans="1:14">
      <c r="A36" s="129">
        <f t="shared" si="6"/>
        <v>69.021580197869255</v>
      </c>
      <c r="B36" s="130">
        <f t="shared" si="7"/>
        <v>76.224623592988394</v>
      </c>
      <c r="C36" s="130">
        <f t="shared" si="8"/>
        <v>83.427666988107518</v>
      </c>
      <c r="D36" s="130">
        <f t="shared" si="9"/>
        <v>14.406086790238263</v>
      </c>
      <c r="E36" s="63">
        <v>0.4</v>
      </c>
      <c r="F36" s="68">
        <f t="shared" si="2"/>
        <v>2.2680000000000002</v>
      </c>
      <c r="G36" s="67">
        <f t="shared" si="3"/>
        <v>3.4019999999999997</v>
      </c>
      <c r="H36" s="31" t="s">
        <v>152</v>
      </c>
      <c r="I36" s="39">
        <f t="shared" si="4"/>
        <v>22.825815593485515</v>
      </c>
      <c r="J36" s="39">
        <f t="shared" si="5"/>
        <v>7.9890354577199298</v>
      </c>
      <c r="K36" s="39">
        <f t="shared" si="12"/>
        <v>1.9204151723473675</v>
      </c>
      <c r="L36" s="31">
        <f t="shared" si="10"/>
        <v>3.5352744842962021</v>
      </c>
      <c r="M36" s="31">
        <f t="shared" si="11"/>
        <v>6.7891947580549417</v>
      </c>
      <c r="N36" s="32"/>
    </row>
    <row r="37" spans="1:14">
      <c r="A37" s="129">
        <f t="shared" si="6"/>
        <v>66.66651919380233</v>
      </c>
      <c r="B37" s="130">
        <f t="shared" si="7"/>
        <v>74.640609090584306</v>
      </c>
      <c r="C37" s="130">
        <f t="shared" si="8"/>
        <v>82.614698987366282</v>
      </c>
      <c r="D37" s="130">
        <f t="shared" si="9"/>
        <v>15.948179793563952</v>
      </c>
      <c r="E37" s="68">
        <v>0.45</v>
      </c>
      <c r="F37" s="68">
        <f t="shared" si="2"/>
        <v>2.5514999999999999</v>
      </c>
      <c r="G37" s="67">
        <f t="shared" si="3"/>
        <v>3.1185</v>
      </c>
      <c r="H37" s="31" t="s">
        <v>151</v>
      </c>
      <c r="I37" s="39">
        <f t="shared" si="4"/>
        <v>31.171533439263449</v>
      </c>
      <c r="J37" s="39">
        <f t="shared" si="5"/>
        <v>10.910036703742206</v>
      </c>
      <c r="K37" s="39">
        <f t="shared" si="12"/>
        <v>2.6789434788872546</v>
      </c>
      <c r="L37" s="31">
        <f t="shared" si="10"/>
        <v>3.2529471383729627</v>
      </c>
      <c r="M37" s="31">
        <f t="shared" si="11"/>
        <v>8.714461523509204</v>
      </c>
      <c r="N37" s="32"/>
    </row>
    <row r="38" spans="1:14">
      <c r="A38" s="129">
        <f t="shared" si="6"/>
        <v>64.392068510781669</v>
      </c>
      <c r="B38" s="130">
        <f t="shared" si="7"/>
        <v>73.098389318920965</v>
      </c>
      <c r="C38" s="130">
        <f t="shared" si="8"/>
        <v>81.804710127060275</v>
      </c>
      <c r="D38" s="130">
        <f t="shared" si="9"/>
        <v>17.412641616278606</v>
      </c>
      <c r="E38" s="63">
        <v>0.5</v>
      </c>
      <c r="F38" s="68">
        <f t="shared" si="2"/>
        <v>2.835</v>
      </c>
      <c r="G38" s="67">
        <f t="shared" si="3"/>
        <v>2.835</v>
      </c>
      <c r="H38" s="31" t="s">
        <v>150</v>
      </c>
      <c r="I38" s="39">
        <f t="shared" si="4"/>
        <v>40.870148685579373</v>
      </c>
      <c r="J38" s="39">
        <f t="shared" si="5"/>
        <v>14.30455203995278</v>
      </c>
      <c r="K38" s="39">
        <f t="shared" si="12"/>
        <v>3.5741679544187654</v>
      </c>
      <c r="L38" s="31">
        <f t="shared" si="10"/>
        <v>2.9703889662640819</v>
      </c>
      <c r="M38" s="31">
        <f t="shared" si="11"/>
        <v>10.616669055380164</v>
      </c>
      <c r="N38" s="32"/>
    </row>
    <row r="39" spans="1:14">
      <c r="A39" s="129">
        <f t="shared" si="6"/>
        <v>62.200952881898168</v>
      </c>
      <c r="B39" s="130">
        <f t="shared" si="7"/>
        <v>71.599479401069232</v>
      </c>
      <c r="C39" s="130">
        <f t="shared" si="8"/>
        <v>80.998005920240303</v>
      </c>
      <c r="D39" s="130">
        <f t="shared" si="9"/>
        <v>18.797053038342135</v>
      </c>
      <c r="E39" s="63">
        <v>0.55000000000000004</v>
      </c>
      <c r="F39" s="68">
        <f t="shared" si="2"/>
        <v>3.1185</v>
      </c>
      <c r="G39" s="67">
        <f t="shared" si="3"/>
        <v>2.5514999999999999</v>
      </c>
      <c r="H39" s="31" t="s">
        <v>252</v>
      </c>
      <c r="I39" s="39">
        <f t="shared" si="4"/>
        <v>51.83460228587186</v>
      </c>
      <c r="J39" s="39">
        <f t="shared" si="5"/>
        <v>18.14211080005515</v>
      </c>
      <c r="K39" s="39">
        <f t="shared" si="12"/>
        <v>4.5993144575711256</v>
      </c>
      <c r="L39" s="31">
        <f t="shared" si="10"/>
        <v>2.6876616086048992</v>
      </c>
      <c r="M39" s="31">
        <f t="shared" si="11"/>
        <v>12.361400893515381</v>
      </c>
      <c r="N39" s="32"/>
    </row>
    <row r="40" spans="1:14">
      <c r="A40" s="129">
        <f t="shared" si="6"/>
        <v>60.094728849802323</v>
      </c>
      <c r="B40" s="130">
        <f t="shared" si="7"/>
        <v>70.144806525899497</v>
      </c>
      <c r="C40" s="130">
        <f t="shared" si="8"/>
        <v>80.194884201996658</v>
      </c>
      <c r="D40" s="130">
        <f t="shared" si="9"/>
        <v>20.100155352194335</v>
      </c>
      <c r="E40" s="68">
        <v>0.6</v>
      </c>
      <c r="F40" s="68">
        <f t="shared" si="2"/>
        <v>3.4019999999999997</v>
      </c>
      <c r="G40" s="67">
        <f t="shared" si="3"/>
        <v>2.2680000000000002</v>
      </c>
      <c r="H40" s="31" t="s">
        <v>253</v>
      </c>
      <c r="I40" s="39">
        <f t="shared" si="4"/>
        <v>63.949299441837091</v>
      </c>
      <c r="J40" s="39">
        <f t="shared" si="5"/>
        <v>22.382254804642979</v>
      </c>
      <c r="K40" s="39">
        <f t="shared" si="12"/>
        <v>5.7443288244659527</v>
      </c>
      <c r="L40" s="31">
        <f t="shared" si="10"/>
        <v>2.4048061396525959</v>
      </c>
      <c r="M40" s="31">
        <f t="shared" si="11"/>
        <v>13.813997225259103</v>
      </c>
      <c r="N40" s="32"/>
    </row>
    <row r="41" spans="1:14">
      <c r="A41" s="129">
        <f t="shared" si="6"/>
        <v>58.073918858250373</v>
      </c>
      <c r="B41" s="130">
        <f t="shared" si="7"/>
        <v>68.734776699663158</v>
      </c>
      <c r="C41" s="130">
        <f t="shared" si="8"/>
        <v>79.395634541075935</v>
      </c>
      <c r="D41" s="130">
        <f t="shared" si="9"/>
        <v>21.321715682825563</v>
      </c>
      <c r="E41" s="63">
        <v>0.65</v>
      </c>
      <c r="F41" s="68">
        <f t="shared" si="2"/>
        <v>3.6855000000000002</v>
      </c>
      <c r="G41" s="67">
        <f t="shared" si="3"/>
        <v>1.9844999999999997</v>
      </c>
      <c r="H41" s="31" t="s">
        <v>254</v>
      </c>
      <c r="I41" s="39">
        <f t="shared" si="4"/>
        <v>77.078988569283368</v>
      </c>
      <c r="J41" s="39">
        <f t="shared" si="5"/>
        <v>26.977645999249177</v>
      </c>
      <c r="K41" s="39">
        <f t="shared" si="12"/>
        <v>6.9967659389517269</v>
      </c>
      <c r="L41" s="31">
        <f t="shared" si="10"/>
        <v>2.1218510399046826</v>
      </c>
      <c r="M41" s="31">
        <f t="shared" si="11"/>
        <v>14.846095083534385</v>
      </c>
      <c r="N41" s="32"/>
    </row>
    <row r="42" spans="1:14">
      <c r="A42" s="129">
        <f t="shared" si="6"/>
        <v>56.138154963445814</v>
      </c>
      <c r="B42" s="130">
        <f t="shared" si="7"/>
        <v>67.369346330455897</v>
      </c>
      <c r="C42" s="130">
        <f t="shared" si="8"/>
        <v>78.600537697465995</v>
      </c>
      <c r="D42" s="130">
        <f t="shared" si="9"/>
        <v>22.462382734020181</v>
      </c>
      <c r="E42" s="63">
        <v>0.7</v>
      </c>
      <c r="F42" s="68">
        <f t="shared" si="2"/>
        <v>3.9689999999999999</v>
      </c>
      <c r="G42" s="67">
        <f t="shared" si="3"/>
        <v>1.7010000000000001</v>
      </c>
      <c r="H42" s="31" t="s">
        <v>255</v>
      </c>
      <c r="I42" s="39">
        <f t="shared" si="4"/>
        <v>91.076886977453967</v>
      </c>
      <c r="J42" s="39">
        <f t="shared" si="5"/>
        <v>31.876910442108887</v>
      </c>
      <c r="K42" s="39">
        <f t="shared" si="12"/>
        <v>8.3426333755624942</v>
      </c>
      <c r="L42" s="31">
        <f t="shared" si="10"/>
        <v>1.8388167404713893</v>
      </c>
      <c r="M42" s="31">
        <f t="shared" si="11"/>
        <v>15.34057391059965</v>
      </c>
      <c r="N42" s="32"/>
    </row>
    <row r="43" spans="1:14">
      <c r="A43" s="129">
        <f t="shared" si="6"/>
        <v>54.286323438869331</v>
      </c>
      <c r="B43" s="130">
        <f t="shared" si="7"/>
        <v>66.048094283395486</v>
      </c>
      <c r="C43" s="130">
        <f t="shared" si="8"/>
        <v>77.80986512792164</v>
      </c>
      <c r="D43" s="130">
        <f t="shared" si="9"/>
        <v>23.523541689052308</v>
      </c>
      <c r="E43" s="68">
        <v>0.75</v>
      </c>
      <c r="F43" s="68">
        <f t="shared" si="2"/>
        <v>4.2524999999999995</v>
      </c>
      <c r="G43" s="67">
        <f t="shared" si="3"/>
        <v>1.4175000000000004</v>
      </c>
      <c r="H43" s="31" t="s">
        <v>256</v>
      </c>
      <c r="I43" s="39">
        <f t="shared" si="4"/>
        <v>105.79168490273048</v>
      </c>
      <c r="J43" s="39">
        <f t="shared" si="5"/>
        <v>37.027089715955668</v>
      </c>
      <c r="K43" s="39">
        <f t="shared" si="12"/>
        <v>9.767142022405638</v>
      </c>
      <c r="L43" s="31">
        <f t="shared" si="10"/>
        <v>1.5557183331863025</v>
      </c>
      <c r="M43" s="31">
        <f t="shared" si="11"/>
        <v>15.194921907090791</v>
      </c>
      <c r="N43" s="32"/>
    </row>
    <row r="44" spans="1:14">
      <c r="A44" s="129">
        <f t="shared" si="6"/>
        <v>52.516703657794686</v>
      </c>
      <c r="B44" s="130">
        <f t="shared" si="7"/>
        <v>64.770291099367981</v>
      </c>
      <c r="C44" s="130">
        <f t="shared" si="8"/>
        <v>77.023878540941269</v>
      </c>
      <c r="D44" s="130">
        <f t="shared" si="9"/>
        <v>24.507174883146583</v>
      </c>
      <c r="E44" s="63">
        <v>0.8</v>
      </c>
      <c r="F44" s="68">
        <f t="shared" si="2"/>
        <v>4.5360000000000005</v>
      </c>
      <c r="G44" s="67">
        <f t="shared" si="3"/>
        <v>1.1339999999999995</v>
      </c>
      <c r="H44" s="31" t="s">
        <v>257</v>
      </c>
      <c r="I44" s="39">
        <f t="shared" si="4"/>
        <v>121.0732555557569</v>
      </c>
      <c r="J44" s="39">
        <f t="shared" si="5"/>
        <v>42.37563944451491</v>
      </c>
      <c r="K44" s="39">
        <f t="shared" si="12"/>
        <v>11.255336858496744</v>
      </c>
      <c r="L44" s="31">
        <f t="shared" si="10"/>
        <v>1.2725672507753014</v>
      </c>
      <c r="M44" s="31">
        <f t="shared" si="11"/>
        <v>14.323173082567118</v>
      </c>
      <c r="N44" s="32"/>
    </row>
    <row r="45" spans="1:14">
      <c r="A45" s="129">
        <f t="shared" si="6"/>
        <v>50.827096676037918</v>
      </c>
      <c r="B45" s="130">
        <f t="shared" si="7"/>
        <v>63.534963089140305</v>
      </c>
      <c r="C45" s="130">
        <f t="shared" si="8"/>
        <v>76.242829502242699</v>
      </c>
      <c r="D45" s="130">
        <f t="shared" si="9"/>
        <v>25.415732826204781</v>
      </c>
      <c r="E45" s="63">
        <v>0.85</v>
      </c>
      <c r="F45" s="68">
        <f t="shared" si="2"/>
        <v>4.8194999999999997</v>
      </c>
      <c r="G45" s="67">
        <f t="shared" si="3"/>
        <v>0.85050000000000026</v>
      </c>
      <c r="H45" s="31" t="s">
        <v>258</v>
      </c>
      <c r="I45" s="39">
        <f t="shared" si="4"/>
        <v>136.77705206542669</v>
      </c>
      <c r="J45" s="39">
        <f t="shared" si="5"/>
        <v>47.871968222899341</v>
      </c>
      <c r="K45" s="39">
        <f t="shared" si="12"/>
        <v>12.792598386855936</v>
      </c>
      <c r="L45" s="31">
        <f t="shared" si="10"/>
        <v>0.98937234438683686</v>
      </c>
      <c r="M45" s="31">
        <f t="shared" si="11"/>
        <v>12.656643056802924</v>
      </c>
      <c r="N45" s="32"/>
    </row>
    <row r="46" spans="1:14">
      <c r="A46" s="129">
        <f t="shared" si="6"/>
        <v>49.214940728631404</v>
      </c>
      <c r="B46" s="130">
        <f t="shared" si="7"/>
        <v>62.340949909982058</v>
      </c>
      <c r="C46" s="130">
        <f t="shared" si="8"/>
        <v>75.466959091332711</v>
      </c>
      <c r="D46" s="130">
        <f t="shared" si="9"/>
        <v>26.252018362701307</v>
      </c>
      <c r="E46" s="68">
        <v>0.9</v>
      </c>
      <c r="F46" s="68">
        <f t="shared" si="2"/>
        <v>5.1029999999999998</v>
      </c>
      <c r="G46" s="67">
        <f t="shared" si="3"/>
        <v>0.56700000000000017</v>
      </c>
      <c r="H46" s="31" t="s">
        <v>259</v>
      </c>
      <c r="I46" s="39">
        <f t="shared" si="4"/>
        <v>152.76727858910988</v>
      </c>
      <c r="J46" s="39">
        <f t="shared" si="5"/>
        <v>53.468547506188457</v>
      </c>
      <c r="K46" s="39">
        <f t="shared" si="12"/>
        <v>14.365018104598199</v>
      </c>
      <c r="L46" s="31">
        <f t="shared" si="10"/>
        <v>0.70614059576288013</v>
      </c>
      <c r="M46" s="31">
        <f t="shared" si="11"/>
        <v>10.143722442525531</v>
      </c>
      <c r="N46" s="32"/>
    </row>
    <row r="47" spans="1:14">
      <c r="A47" s="129">
        <f t="shared" si="6"/>
        <v>47.677412312256259</v>
      </c>
      <c r="B47" s="130">
        <f t="shared" si="7"/>
        <v>61.186954960790871</v>
      </c>
      <c r="C47" s="130">
        <f t="shared" si="8"/>
        <v>74.69649760932549</v>
      </c>
      <c r="D47" s="130">
        <f t="shared" si="9"/>
        <v>27.019085297069232</v>
      </c>
      <c r="E47" s="63">
        <v>0.95</v>
      </c>
      <c r="F47" s="68">
        <f t="shared" si="2"/>
        <v>5.3864999999999998</v>
      </c>
      <c r="G47" s="67">
        <f t="shared" si="3"/>
        <v>0.28350000000000009</v>
      </c>
      <c r="H47" s="31" t="s">
        <v>260</v>
      </c>
      <c r="I47" s="39">
        <f t="shared" si="4"/>
        <v>168.91898647090997</v>
      </c>
      <c r="J47" s="39">
        <f t="shared" si="5"/>
        <v>59.121645264818483</v>
      </c>
      <c r="K47" s="39">
        <f t="shared" si="12"/>
        <v>15.959659825290238</v>
      </c>
      <c r="L47" s="31">
        <f t="shared" si="10"/>
        <v>0.4228776009257883</v>
      </c>
      <c r="M47" s="31">
        <f t="shared" si="11"/>
        <v>6.7489826585104211</v>
      </c>
      <c r="N47" s="32"/>
    </row>
    <row r="48" spans="1:14">
      <c r="A48" s="129">
        <f t="shared" si="6"/>
        <v>46.211512631790555</v>
      </c>
      <c r="B48" s="130">
        <f t="shared" si="7"/>
        <v>60.071588484767567</v>
      </c>
      <c r="C48" s="130">
        <f t="shared" si="8"/>
        <v>73.931664337744579</v>
      </c>
      <c r="D48" s="130">
        <f t="shared" si="9"/>
        <v>27.720151705954024</v>
      </c>
      <c r="E48" s="63">
        <v>1</v>
      </c>
      <c r="F48" s="68">
        <f t="shared" si="2"/>
        <v>5.67</v>
      </c>
      <c r="G48" s="67">
        <f t="shared" si="3"/>
        <v>0</v>
      </c>
      <c r="H48" s="31" t="s">
        <v>261</v>
      </c>
      <c r="I48" s="39">
        <f t="shared" si="4"/>
        <v>185.11927543530567</v>
      </c>
      <c r="J48" s="39">
        <f t="shared" si="5"/>
        <v>64.791746402356978</v>
      </c>
      <c r="K48" s="39">
        <f>((J48+J47)/2)*(G47-G48)</f>
        <v>17.564723268822128</v>
      </c>
      <c r="L48" s="31">
        <f t="shared" si="10"/>
        <v>0.13958790698370774</v>
      </c>
      <c r="M48" s="31">
        <f t="shared" si="11"/>
        <v>2.4518229578429103</v>
      </c>
      <c r="N48" s="32"/>
    </row>
    <row r="49" spans="1:14">
      <c r="A49" s="53" t="s">
        <v>149</v>
      </c>
      <c r="B49" s="62"/>
      <c r="C49" s="62"/>
      <c r="D49" s="62"/>
      <c r="E49" s="54"/>
      <c r="F49" s="54"/>
      <c r="G49" s="36"/>
      <c r="H49" s="36"/>
      <c r="I49" s="61"/>
      <c r="J49" s="121"/>
      <c r="K49" s="60">
        <f>SUM(K28:K48)</f>
        <v>118.49274979023642</v>
      </c>
      <c r="L49" s="59"/>
      <c r="M49" s="58">
        <f>SUM(M29:M48)</f>
        <v>156.01581962227266</v>
      </c>
      <c r="N49" s="37">
        <f>M49/K49</f>
        <v>1.3166697531997698</v>
      </c>
    </row>
  </sheetData>
  <mergeCells count="2">
    <mergeCell ref="E2:L5"/>
    <mergeCell ref="A24:C24"/>
  </mergeCells>
  <pageMargins left="0.7" right="0.7" top="0.75" bottom="0.75" header="0.3" footer="0.3"/>
  <pageSetup paperSize="3" orientation="landscape" r:id="rId1"/>
  <headerFooter>
    <oddFooter>&amp;LSEE PRICIPLES OF GEOTECH 2ND EDITION BYBRAJA M. DAS 9.14 PAGE 414</oddFooter>
  </headerFooter>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dimension ref="A1:Q29"/>
  <sheetViews>
    <sheetView zoomScale="85" zoomScaleNormal="85" workbookViewId="0">
      <selection activeCell="B4" sqref="B4"/>
    </sheetView>
  </sheetViews>
  <sheetFormatPr defaultRowHeight="15"/>
  <cols>
    <col min="1" max="1" width="19.140625" style="1" customWidth="1"/>
    <col min="2" max="2" width="14.5703125" customWidth="1"/>
    <col min="3" max="3" width="10.42578125" customWidth="1"/>
    <col min="4" max="4" width="9.85546875" bestFit="1" customWidth="1"/>
    <col min="5" max="5" width="11.5703125" customWidth="1"/>
    <col min="6" max="6" width="7.7109375" customWidth="1"/>
    <col min="7" max="7" width="14.28515625" customWidth="1"/>
    <col min="8" max="8" width="9.28515625" bestFit="1" customWidth="1"/>
    <col min="9" max="9" width="3.42578125" customWidth="1"/>
    <col min="10" max="10" width="16.28515625" customWidth="1"/>
    <col min="11" max="11" width="16.85546875" customWidth="1"/>
    <col min="12" max="12" width="10.5703125" customWidth="1"/>
    <col min="13" max="13" width="9.28515625" bestFit="1" customWidth="1"/>
    <col min="14" max="14" width="10" customWidth="1"/>
    <col min="15" max="15" width="10.28515625" customWidth="1"/>
    <col min="16" max="17" width="9.28515625" bestFit="1" customWidth="1"/>
  </cols>
  <sheetData>
    <row r="1" spans="1:12">
      <c r="A1" s="46" t="s">
        <v>148</v>
      </c>
      <c r="B1" s="94"/>
      <c r="C1" s="93"/>
      <c r="J1" s="105" t="s">
        <v>201</v>
      </c>
      <c r="K1" s="76"/>
    </row>
    <row r="2" spans="1:12" ht="30">
      <c r="A2" s="104" t="s">
        <v>200</v>
      </c>
      <c r="B2" s="103"/>
      <c r="C2" s="32"/>
      <c r="J2" s="46" t="s">
        <v>199</v>
      </c>
      <c r="K2" s="93">
        <f>B5/B6</f>
        <v>0.26666666666666666</v>
      </c>
    </row>
    <row r="3" spans="1:12">
      <c r="A3" s="35"/>
      <c r="B3" s="31"/>
      <c r="C3" s="32"/>
      <c r="J3" s="35" t="s">
        <v>198</v>
      </c>
      <c r="K3" s="32">
        <f>B4*0.55</f>
        <v>2549.25</v>
      </c>
    </row>
    <row r="4" spans="1:12">
      <c r="A4" s="33" t="s">
        <v>197</v>
      </c>
      <c r="B4" s="31">
        <v>4635</v>
      </c>
      <c r="C4" s="32" t="s">
        <v>144</v>
      </c>
      <c r="J4" s="35" t="s">
        <v>196</v>
      </c>
      <c r="K4" s="32">
        <f>0.64*B4/(K2^2+1)</f>
        <v>2769.460580912863</v>
      </c>
    </row>
    <row r="5" spans="1:12">
      <c r="A5" s="33" t="s">
        <v>195</v>
      </c>
      <c r="B5" s="31">
        <v>2</v>
      </c>
      <c r="C5" s="32" t="s">
        <v>2</v>
      </c>
      <c r="J5" s="53" t="s">
        <v>132</v>
      </c>
      <c r="K5" s="37">
        <f>IF(K2&gt;0.4,K4,K3)</f>
        <v>2549.25</v>
      </c>
    </row>
    <row r="6" spans="1:12" ht="30">
      <c r="A6" s="33" t="s">
        <v>194</v>
      </c>
      <c r="B6" s="31">
        <v>7.5</v>
      </c>
      <c r="C6" s="32" t="s">
        <v>2</v>
      </c>
      <c r="J6" s="102" t="s">
        <v>193</v>
      </c>
      <c r="K6" s="101" t="s">
        <v>192</v>
      </c>
    </row>
    <row r="7" spans="1:12">
      <c r="A7" s="33"/>
      <c r="B7" s="31"/>
      <c r="C7" s="32"/>
      <c r="J7" s="100">
        <v>0.4</v>
      </c>
      <c r="K7" s="99">
        <f>0.6*B$6</f>
        <v>4.5</v>
      </c>
    </row>
    <row r="8" spans="1:12" ht="30">
      <c r="A8" s="52" t="s">
        <v>191</v>
      </c>
      <c r="B8" s="31">
        <f>B5/B6</f>
        <v>0.26666666666666666</v>
      </c>
      <c r="C8" s="32"/>
      <c r="J8" s="100">
        <v>0.5</v>
      </c>
      <c r="K8" s="99">
        <f>0.56*B$6</f>
        <v>4.2</v>
      </c>
    </row>
    <row r="9" spans="1:12">
      <c r="A9" s="52" t="s">
        <v>5</v>
      </c>
      <c r="B9" s="31">
        <f>IF(B8&lt;=0.04,E29,N29)</f>
        <v>2682.6419856716238</v>
      </c>
      <c r="C9" s="32" t="s">
        <v>144</v>
      </c>
      <c r="J9" s="100">
        <v>0.6</v>
      </c>
      <c r="K9" s="99">
        <f>0.52*B$6</f>
        <v>3.9000000000000004</v>
      </c>
    </row>
    <row r="10" spans="1:12" ht="30">
      <c r="A10" s="98" t="s">
        <v>190</v>
      </c>
      <c r="B10" s="36">
        <f>IF(B8&lt;=0.04,H29,Q29)</f>
        <v>5.1686149529305823</v>
      </c>
      <c r="C10" s="37" t="s">
        <v>2</v>
      </c>
      <c r="J10" s="97">
        <v>0.7</v>
      </c>
      <c r="K10" s="96">
        <f>0.48*B$6</f>
        <v>3.5999999999999996</v>
      </c>
    </row>
    <row r="12" spans="1:12">
      <c r="A12" s="95" t="s">
        <v>189</v>
      </c>
      <c r="B12" s="94"/>
      <c r="C12" s="93"/>
      <c r="J12" s="164" t="s">
        <v>188</v>
      </c>
      <c r="K12" s="165"/>
      <c r="L12" s="93"/>
    </row>
    <row r="13" spans="1:12">
      <c r="A13" s="92" t="s">
        <v>183</v>
      </c>
      <c r="B13" s="31">
        <f>E29</f>
        <v>2502.3114126887403</v>
      </c>
      <c r="C13" s="32" t="s">
        <v>3</v>
      </c>
      <c r="J13" s="35" t="s">
        <v>183</v>
      </c>
      <c r="K13" s="39">
        <f>N29</f>
        <v>2682.6419856716238</v>
      </c>
      <c r="L13" s="32" t="s">
        <v>3</v>
      </c>
    </row>
    <row r="14" spans="1:12">
      <c r="A14" s="92" t="s">
        <v>187</v>
      </c>
      <c r="B14" s="31">
        <f>H29</f>
        <v>4.5256527057632487</v>
      </c>
      <c r="C14" s="32" t="s">
        <v>2</v>
      </c>
      <c r="J14" s="35" t="s">
        <v>187</v>
      </c>
      <c r="K14" s="31">
        <f>Q29</f>
        <v>5.1686149529305823</v>
      </c>
      <c r="L14" s="32" t="s">
        <v>2</v>
      </c>
    </row>
    <row r="15" spans="1:12" ht="30">
      <c r="A15" s="92" t="s">
        <v>186</v>
      </c>
      <c r="B15" s="31"/>
      <c r="C15" s="32"/>
      <c r="J15" s="35" t="s">
        <v>186</v>
      </c>
      <c r="K15" s="31"/>
      <c r="L15" s="32"/>
    </row>
    <row r="16" spans="1:12">
      <c r="A16" s="91" t="s">
        <v>217</v>
      </c>
      <c r="B16" s="36" t="s">
        <v>214</v>
      </c>
      <c r="C16" s="37" t="str">
        <f>IF(K2&lt;=0.4,"USE","DON'T USE")</f>
        <v>USE</v>
      </c>
      <c r="J16" s="53" t="s">
        <v>218</v>
      </c>
      <c r="K16" s="36" t="s">
        <v>214</v>
      </c>
      <c r="L16" s="37" t="str">
        <f>IF(K2&gt;0.4,"USE","DON'T USE")</f>
        <v>DON'T USE</v>
      </c>
    </row>
    <row r="17" spans="1:17">
      <c r="A17" s="90" t="s">
        <v>166</v>
      </c>
      <c r="B17" s="69" t="s">
        <v>24</v>
      </c>
      <c r="C17" s="69" t="s">
        <v>185</v>
      </c>
      <c r="D17" s="69" t="s">
        <v>184</v>
      </c>
      <c r="E17" s="69" t="s">
        <v>183</v>
      </c>
      <c r="F17" s="69" t="s">
        <v>182</v>
      </c>
      <c r="G17" s="69" t="s">
        <v>181</v>
      </c>
      <c r="H17" s="88" t="s">
        <v>180</v>
      </c>
      <c r="J17" s="89" t="s">
        <v>166</v>
      </c>
      <c r="K17" s="69" t="s">
        <v>24</v>
      </c>
      <c r="L17" s="69" t="s">
        <v>185</v>
      </c>
      <c r="M17" s="69" t="s">
        <v>184</v>
      </c>
      <c r="N17" s="69" t="s">
        <v>183</v>
      </c>
      <c r="O17" s="69" t="s">
        <v>182</v>
      </c>
      <c r="P17" s="69" t="s">
        <v>181</v>
      </c>
      <c r="Q17" s="88" t="s">
        <v>180</v>
      </c>
    </row>
    <row r="18" spans="1:17">
      <c r="A18" s="87">
        <v>0</v>
      </c>
      <c r="B18" s="85">
        <f t="shared" ref="B18:B28" si="0">A18*$B$6</f>
        <v>0</v>
      </c>
      <c r="C18" s="85">
        <f>$B$6-B18</f>
        <v>7.5</v>
      </c>
      <c r="D18" s="85">
        <f t="shared" ref="D18:D28" si="1">(B$4/(B$6))*(0.203*A18/((0.16+A18^2)^2))</f>
        <v>0</v>
      </c>
      <c r="E18" s="85">
        <v>0</v>
      </c>
      <c r="F18" s="85">
        <f>C18-B18</f>
        <v>7.5</v>
      </c>
      <c r="G18" s="85">
        <f t="shared" ref="G18:G28" si="2">E18*F18</f>
        <v>0</v>
      </c>
      <c r="H18" s="84"/>
      <c r="I18" s="76"/>
      <c r="J18" s="86">
        <v>0</v>
      </c>
      <c r="K18" s="85">
        <f t="shared" ref="K18:K28" si="3">J18*$B$6</f>
        <v>0</v>
      </c>
      <c r="L18" s="85">
        <f t="shared" ref="L18:L28" si="4">$B$6-K18</f>
        <v>7.5</v>
      </c>
      <c r="M18" s="85">
        <f t="shared" ref="M18:M28" si="5">(4*B$4/(PI()*B$6))*(K$2^2*J18/((K$2^2+J18^2)^2))</f>
        <v>0</v>
      </c>
      <c r="N18" s="85">
        <v>0</v>
      </c>
      <c r="O18" s="85">
        <f>L18-K18</f>
        <v>7.5</v>
      </c>
      <c r="P18" s="85">
        <f t="shared" ref="P18:P28" si="6">N18*O18</f>
        <v>0</v>
      </c>
      <c r="Q18" s="84"/>
    </row>
    <row r="19" spans="1:17">
      <c r="A19" s="83">
        <v>0.1</v>
      </c>
      <c r="B19" s="39">
        <f t="shared" si="0"/>
        <v>0.75</v>
      </c>
      <c r="C19" s="39">
        <f t="shared" ref="C19:C28" si="7">B$6-B19</f>
        <v>6.75</v>
      </c>
      <c r="D19" s="39">
        <f t="shared" si="1"/>
        <v>434.09688581314873</v>
      </c>
      <c r="E19" s="39">
        <f t="shared" ref="E19:E28" si="8">((D19+D18)/2)*(B19-B18)</f>
        <v>162.78633217993078</v>
      </c>
      <c r="F19" s="39">
        <f t="shared" ref="F19:F28" si="9">C18-((B19-B18)*(2*D19+D18))/(3*(D19+D18))</f>
        <v>7</v>
      </c>
      <c r="G19" s="39">
        <f t="shared" si="2"/>
        <v>1139.5043252595156</v>
      </c>
      <c r="H19" s="82"/>
      <c r="I19" s="76"/>
      <c r="J19" s="64">
        <v>0.1</v>
      </c>
      <c r="K19" s="39">
        <f t="shared" si="3"/>
        <v>0.75</v>
      </c>
      <c r="L19" s="39">
        <f t="shared" si="4"/>
        <v>6.75</v>
      </c>
      <c r="M19" s="39">
        <f t="shared" si="5"/>
        <v>850.50203464118306</v>
      </c>
      <c r="N19" s="39">
        <f t="shared" ref="N19:N28" si="10">((M19+M18)/2)*(K19-K18)</f>
        <v>318.93826299044366</v>
      </c>
      <c r="O19" s="39">
        <f t="shared" ref="O19:O28" si="11">L18-((K19-K18)*(2*M19+M18))/(3*(M19+M18))</f>
        <v>7</v>
      </c>
      <c r="P19" s="39">
        <f t="shared" si="6"/>
        <v>2232.5678409331058</v>
      </c>
      <c r="Q19" s="82"/>
    </row>
    <row r="20" spans="1:17">
      <c r="A20" s="83">
        <v>0.2</v>
      </c>
      <c r="B20" s="39">
        <f t="shared" si="0"/>
        <v>1.5</v>
      </c>
      <c r="C20" s="39">
        <f t="shared" si="7"/>
        <v>6</v>
      </c>
      <c r="D20" s="39">
        <f t="shared" si="1"/>
        <v>627.27</v>
      </c>
      <c r="E20" s="39">
        <f t="shared" si="8"/>
        <v>398.01258217993075</v>
      </c>
      <c r="F20" s="39">
        <f t="shared" si="9"/>
        <v>6.3522494887525562</v>
      </c>
      <c r="G20" s="39">
        <f t="shared" si="2"/>
        <v>2528.2752216695499</v>
      </c>
      <c r="H20" s="82"/>
      <c r="I20" s="76"/>
      <c r="J20" s="64">
        <v>0.2</v>
      </c>
      <c r="K20" s="39">
        <f t="shared" si="3"/>
        <v>1.5</v>
      </c>
      <c r="L20" s="39">
        <f t="shared" si="4"/>
        <v>6</v>
      </c>
      <c r="M20" s="39">
        <f t="shared" si="5"/>
        <v>906.4650685205728</v>
      </c>
      <c r="N20" s="39">
        <f t="shared" si="10"/>
        <v>658.86266368565839</v>
      </c>
      <c r="O20" s="39">
        <f t="shared" si="11"/>
        <v>6.3710184916255201</v>
      </c>
      <c r="P20" s="39">
        <f t="shared" si="6"/>
        <v>4197.6262137829754</v>
      </c>
      <c r="Q20" s="82"/>
    </row>
    <row r="21" spans="1:17">
      <c r="A21" s="83">
        <v>0.3</v>
      </c>
      <c r="B21" s="39">
        <f t="shared" si="0"/>
        <v>2.25</v>
      </c>
      <c r="C21" s="39">
        <f t="shared" si="7"/>
        <v>5.25</v>
      </c>
      <c r="D21" s="39">
        <f t="shared" si="1"/>
        <v>602.17920000000004</v>
      </c>
      <c r="E21" s="39">
        <f t="shared" si="8"/>
        <v>461.04345000000001</v>
      </c>
      <c r="F21" s="39">
        <f t="shared" si="9"/>
        <v>5.6275510204081636</v>
      </c>
      <c r="G21" s="39">
        <f t="shared" si="2"/>
        <v>2594.5455375000001</v>
      </c>
      <c r="H21" s="82"/>
      <c r="I21" s="76"/>
      <c r="J21" s="64">
        <v>0.3</v>
      </c>
      <c r="K21" s="39">
        <f t="shared" si="3"/>
        <v>2.25</v>
      </c>
      <c r="L21" s="39">
        <f t="shared" si="4"/>
        <v>5.25</v>
      </c>
      <c r="M21" s="39">
        <f t="shared" si="5"/>
        <v>646.70516184583096</v>
      </c>
      <c r="N21" s="39">
        <f t="shared" si="10"/>
        <v>582.43883638740135</v>
      </c>
      <c r="O21" s="39">
        <f t="shared" si="11"/>
        <v>5.6459056210964604</v>
      </c>
      <c r="P21" s="39">
        <f t="shared" si="6"/>
        <v>3288.3947003045109</v>
      </c>
      <c r="Q21" s="82"/>
    </row>
    <row r="22" spans="1:17">
      <c r="A22" s="83">
        <v>0.4</v>
      </c>
      <c r="B22" s="39">
        <f t="shared" si="0"/>
        <v>3</v>
      </c>
      <c r="C22" s="39">
        <f t="shared" si="7"/>
        <v>4.5</v>
      </c>
      <c r="D22" s="39">
        <f t="shared" si="1"/>
        <v>490.05468749999977</v>
      </c>
      <c r="E22" s="39">
        <f t="shared" si="8"/>
        <v>409.58770781249996</v>
      </c>
      <c r="F22" s="39">
        <f t="shared" si="9"/>
        <v>4.8878320172290026</v>
      </c>
      <c r="G22" s="39">
        <f t="shared" si="2"/>
        <v>2001.995912109375</v>
      </c>
      <c r="H22" s="82"/>
      <c r="I22" s="76"/>
      <c r="J22" s="64">
        <v>0.4</v>
      </c>
      <c r="K22" s="39">
        <f t="shared" si="3"/>
        <v>3</v>
      </c>
      <c r="L22" s="39">
        <f t="shared" si="4"/>
        <v>4.5</v>
      </c>
      <c r="M22" s="39">
        <f t="shared" si="5"/>
        <v>419.03895549212859</v>
      </c>
      <c r="N22" s="39">
        <f t="shared" si="10"/>
        <v>399.65404400173486</v>
      </c>
      <c r="O22" s="39">
        <f t="shared" si="11"/>
        <v>4.901702728479794</v>
      </c>
      <c r="P22" s="39">
        <f t="shared" si="6"/>
        <v>1958.9853179312875</v>
      </c>
      <c r="Q22" s="82"/>
    </row>
    <row r="23" spans="1:17">
      <c r="A23" s="83">
        <v>0.5</v>
      </c>
      <c r="B23" s="39">
        <f t="shared" si="0"/>
        <v>3.75</v>
      </c>
      <c r="C23" s="39">
        <f t="shared" si="7"/>
        <v>3.75</v>
      </c>
      <c r="D23" s="39">
        <f t="shared" si="1"/>
        <v>373.15288518738845</v>
      </c>
      <c r="E23" s="39">
        <f t="shared" si="8"/>
        <v>323.70283975777056</v>
      </c>
      <c r="F23" s="39">
        <f t="shared" si="9"/>
        <v>4.1419284025667</v>
      </c>
      <c r="G23" s="39">
        <f t="shared" si="2"/>
        <v>1340.753985984207</v>
      </c>
      <c r="H23" s="82"/>
      <c r="I23" s="76"/>
      <c r="J23" s="64">
        <v>0.5</v>
      </c>
      <c r="K23" s="39">
        <f t="shared" si="3"/>
        <v>3.75</v>
      </c>
      <c r="L23" s="39">
        <f t="shared" si="4"/>
        <v>3.75</v>
      </c>
      <c r="M23" s="39">
        <f t="shared" si="5"/>
        <v>271.32848879939559</v>
      </c>
      <c r="N23" s="39">
        <f t="shared" si="10"/>
        <v>258.88779160932154</v>
      </c>
      <c r="O23" s="39">
        <f t="shared" si="11"/>
        <v>4.1517449001097377</v>
      </c>
      <c r="P23" s="39">
        <f t="shared" si="6"/>
        <v>1074.8360685146733</v>
      </c>
      <c r="Q23" s="82"/>
    </row>
    <row r="24" spans="1:17">
      <c r="A24" s="83">
        <v>0.6</v>
      </c>
      <c r="B24" s="39">
        <f t="shared" si="0"/>
        <v>4.5</v>
      </c>
      <c r="C24" s="39">
        <f t="shared" si="7"/>
        <v>3</v>
      </c>
      <c r="D24" s="39">
        <f t="shared" si="1"/>
        <v>278.37426035502961</v>
      </c>
      <c r="E24" s="39">
        <f t="shared" si="8"/>
        <v>244.32267957840679</v>
      </c>
      <c r="F24" s="39">
        <f t="shared" si="9"/>
        <v>3.3931839362873846</v>
      </c>
      <c r="G24" s="39">
        <f t="shared" si="2"/>
        <v>829.0317916161398</v>
      </c>
      <c r="H24" s="82"/>
      <c r="I24" s="76"/>
      <c r="J24" s="64">
        <v>0.6</v>
      </c>
      <c r="K24" s="39">
        <f t="shared" si="3"/>
        <v>4.5</v>
      </c>
      <c r="L24" s="39">
        <f t="shared" si="4"/>
        <v>3</v>
      </c>
      <c r="M24" s="39">
        <f t="shared" si="5"/>
        <v>180.63790025253203</v>
      </c>
      <c r="N24" s="39">
        <f t="shared" si="10"/>
        <v>169.48739589447285</v>
      </c>
      <c r="O24" s="39">
        <f t="shared" si="11"/>
        <v>3.4000822270039541</v>
      </c>
      <c r="P24" s="39">
        <f t="shared" si="6"/>
        <v>576.2710824819801</v>
      </c>
      <c r="Q24" s="82"/>
    </row>
    <row r="25" spans="1:17">
      <c r="A25" s="83">
        <v>0.7</v>
      </c>
      <c r="B25" s="39">
        <f t="shared" si="0"/>
        <v>5.25</v>
      </c>
      <c r="C25" s="39">
        <f t="shared" si="7"/>
        <v>2.25</v>
      </c>
      <c r="D25" s="39">
        <f t="shared" si="1"/>
        <v>207.85278106508881</v>
      </c>
      <c r="E25" s="39">
        <f t="shared" si="8"/>
        <v>182.33514053254441</v>
      </c>
      <c r="F25" s="39">
        <f t="shared" si="9"/>
        <v>2.6431297709923665</v>
      </c>
      <c r="G25" s="39">
        <f t="shared" si="2"/>
        <v>481.93543823964507</v>
      </c>
      <c r="H25" s="82"/>
      <c r="I25" s="76"/>
      <c r="J25" s="64">
        <v>0.7</v>
      </c>
      <c r="K25" s="39">
        <f t="shared" si="3"/>
        <v>5.25</v>
      </c>
      <c r="L25" s="39">
        <f t="shared" si="4"/>
        <v>2.25</v>
      </c>
      <c r="M25" s="39">
        <f t="shared" si="5"/>
        <v>124.40457758345283</v>
      </c>
      <c r="N25" s="39">
        <f t="shared" si="10"/>
        <v>114.39092918849433</v>
      </c>
      <c r="O25" s="39">
        <f t="shared" si="11"/>
        <v>2.6480432344488571</v>
      </c>
      <c r="P25" s="39">
        <f t="shared" si="6"/>
        <v>302.91212611991068</v>
      </c>
      <c r="Q25" s="82"/>
    </row>
    <row r="26" spans="1:17">
      <c r="A26" s="83">
        <v>0.8</v>
      </c>
      <c r="B26" s="39">
        <f t="shared" si="0"/>
        <v>6</v>
      </c>
      <c r="C26" s="39">
        <f t="shared" si="7"/>
        <v>1.5</v>
      </c>
      <c r="D26" s="39">
        <f t="shared" si="1"/>
        <v>156.81749999999994</v>
      </c>
      <c r="E26" s="39">
        <f t="shared" si="8"/>
        <v>136.75135539940828</v>
      </c>
      <c r="F26" s="39">
        <f t="shared" si="9"/>
        <v>1.8924936386768447</v>
      </c>
      <c r="G26" s="39">
        <f t="shared" si="2"/>
        <v>258.80107017381658</v>
      </c>
      <c r="H26" s="82"/>
      <c r="I26" s="76"/>
      <c r="J26" s="64">
        <v>0.8</v>
      </c>
      <c r="K26" s="39">
        <f t="shared" si="3"/>
        <v>6</v>
      </c>
      <c r="L26" s="39">
        <f t="shared" si="4"/>
        <v>1.5</v>
      </c>
      <c r="M26" s="39">
        <f t="shared" si="5"/>
        <v>88.521979347712147</v>
      </c>
      <c r="N26" s="39">
        <f t="shared" si="10"/>
        <v>79.847458849186864</v>
      </c>
      <c r="O26" s="39">
        <f t="shared" si="11"/>
        <v>1.8960651261360395</v>
      </c>
      <c r="P26" s="39">
        <f t="shared" si="6"/>
        <v>151.39598213452572</v>
      </c>
      <c r="Q26" s="82"/>
    </row>
    <row r="27" spans="1:17">
      <c r="A27" s="83">
        <v>0.9</v>
      </c>
      <c r="B27" s="39">
        <f t="shared" si="0"/>
        <v>6.75</v>
      </c>
      <c r="C27" s="39">
        <f t="shared" si="7"/>
        <v>0.75</v>
      </c>
      <c r="D27" s="39">
        <f t="shared" si="1"/>
        <v>120.00063768732065</v>
      </c>
      <c r="E27" s="39">
        <f t="shared" si="8"/>
        <v>103.80680163274522</v>
      </c>
      <c r="F27" s="39">
        <f t="shared" si="9"/>
        <v>1.1416250225781202</v>
      </c>
      <c r="G27" s="39">
        <f t="shared" si="2"/>
        <v>118.5084422577452</v>
      </c>
      <c r="H27" s="82"/>
      <c r="I27" s="76"/>
      <c r="J27" s="64">
        <v>0.9</v>
      </c>
      <c r="K27" s="39">
        <f t="shared" si="3"/>
        <v>6.75</v>
      </c>
      <c r="L27" s="39">
        <f t="shared" si="4"/>
        <v>0.75</v>
      </c>
      <c r="M27" s="39">
        <f t="shared" si="5"/>
        <v>64.866014072417656</v>
      </c>
      <c r="N27" s="39">
        <f t="shared" si="10"/>
        <v>57.520497532548681</v>
      </c>
      <c r="O27" s="39">
        <f t="shared" si="11"/>
        <v>1.1442778821436994</v>
      </c>
      <c r="P27" s="39">
        <f t="shared" si="6"/>
        <v>65.819433096396693</v>
      </c>
      <c r="Q27" s="82"/>
    </row>
    <row r="28" spans="1:17">
      <c r="A28" s="81">
        <v>1</v>
      </c>
      <c r="B28" s="79">
        <f t="shared" si="0"/>
        <v>7.5</v>
      </c>
      <c r="C28" s="79">
        <f t="shared" si="7"/>
        <v>0</v>
      </c>
      <c r="D28" s="79">
        <f t="shared" si="1"/>
        <v>93.232758620689665</v>
      </c>
      <c r="E28" s="79">
        <f t="shared" si="8"/>
        <v>79.962523615503869</v>
      </c>
      <c r="F28" s="79">
        <f t="shared" si="9"/>
        <v>0.39069165497179287</v>
      </c>
      <c r="G28" s="79">
        <f t="shared" si="2"/>
        <v>31.240690687062276</v>
      </c>
      <c r="H28" s="78"/>
      <c r="I28" s="76"/>
      <c r="J28" s="80">
        <v>1</v>
      </c>
      <c r="K28" s="79">
        <f t="shared" si="3"/>
        <v>7.5</v>
      </c>
      <c r="L28" s="79">
        <f t="shared" si="4"/>
        <v>0</v>
      </c>
      <c r="M28" s="39">
        <f t="shared" si="5"/>
        <v>48.771600680545959</v>
      </c>
      <c r="N28" s="79">
        <f t="shared" si="10"/>
        <v>42.614105532361357</v>
      </c>
      <c r="O28" s="79">
        <f t="shared" si="11"/>
        <v>0.3927036598168433</v>
      </c>
      <c r="P28" s="79">
        <f t="shared" si="6"/>
        <v>16.734715202379494</v>
      </c>
      <c r="Q28" s="78"/>
    </row>
    <row r="29" spans="1:17">
      <c r="A29" s="77"/>
      <c r="B29" s="74"/>
      <c r="C29" s="74"/>
      <c r="D29" s="73"/>
      <c r="E29" s="73">
        <f>SUM(E19:E28)</f>
        <v>2502.3114126887403</v>
      </c>
      <c r="F29" s="73"/>
      <c r="G29" s="73">
        <f>SUM(G19:G28)</f>
        <v>11324.592415497056</v>
      </c>
      <c r="H29" s="72">
        <f>G29/E29</f>
        <v>4.5256527057632487</v>
      </c>
      <c r="I29" s="76"/>
      <c r="J29" s="75"/>
      <c r="K29" s="74"/>
      <c r="L29" s="74"/>
      <c r="M29" s="73"/>
      <c r="N29" s="73">
        <f>SUM(N19:N28)</f>
        <v>2682.6419856716238</v>
      </c>
      <c r="O29" s="73"/>
      <c r="P29" s="73">
        <f>SUM(P19:P28)</f>
        <v>13865.543480501743</v>
      </c>
      <c r="Q29" s="72">
        <f>P29/N29</f>
        <v>5.1686149529305823</v>
      </c>
    </row>
  </sheetData>
  <mergeCells count="1">
    <mergeCell ref="J12:K12"/>
  </mergeCells>
  <pageMargins left="0.7" right="0.7" top="0.75" bottom="0.75" header="0.3" footer="0.3"/>
  <pageSetup scale="92" orientation="portrait" r:id="rId1"/>
  <headerFooter>
    <oddFooter>&amp;L
Refer to Retaining and Flood wall Manual 
Line Load Bousinessq as Modified by Terzaghi</oddFooter>
  </headerFooter>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dimension ref="A2:Q24"/>
  <sheetViews>
    <sheetView tabSelected="1" zoomScaleNormal="100" workbookViewId="0">
      <selection activeCell="F4" sqref="F4"/>
    </sheetView>
  </sheetViews>
  <sheetFormatPr defaultRowHeight="15"/>
  <cols>
    <col min="1" max="1" width="19" customWidth="1"/>
    <col min="10" max="10" width="12" customWidth="1"/>
  </cols>
  <sheetData>
    <row r="2" spans="1:17">
      <c r="A2" t="s">
        <v>6</v>
      </c>
    </row>
    <row r="3" spans="1:17">
      <c r="A3" s="110" t="s">
        <v>206</v>
      </c>
      <c r="B3">
        <f>27800/2</f>
        <v>13900</v>
      </c>
      <c r="C3" t="s">
        <v>3</v>
      </c>
    </row>
    <row r="4" spans="1:17">
      <c r="A4" s="110" t="s">
        <v>205</v>
      </c>
      <c r="B4">
        <v>7.5</v>
      </c>
      <c r="C4" t="s">
        <v>2</v>
      </c>
    </row>
    <row r="5" spans="1:17">
      <c r="A5" s="110" t="s">
        <v>195</v>
      </c>
      <c r="B5">
        <v>2</v>
      </c>
      <c r="C5" t="s">
        <v>2</v>
      </c>
    </row>
    <row r="6" spans="1:17">
      <c r="A6" t="s">
        <v>204</v>
      </c>
      <c r="B6">
        <f>B5/B4</f>
        <v>0.26666666666666666</v>
      </c>
    </row>
    <row r="8" spans="1:17">
      <c r="A8" s="109" t="s">
        <v>5</v>
      </c>
      <c r="B8">
        <f>IF(B6&lt;=0.4,E24,N24)</f>
        <v>1458.6158810858935</v>
      </c>
      <c r="C8" t="s">
        <v>3</v>
      </c>
    </row>
    <row r="9" spans="1:17">
      <c r="A9" s="109" t="s">
        <v>203</v>
      </c>
      <c r="B9">
        <f>IF(B6&lt;=0.4,H24,Q24)</f>
        <v>4.4069522451745611</v>
      </c>
      <c r="C9" t="s">
        <v>2</v>
      </c>
    </row>
    <row r="11" spans="1:17">
      <c r="A11" s="108" t="s">
        <v>215</v>
      </c>
      <c r="B11" s="107" t="s">
        <v>214</v>
      </c>
      <c r="C11" s="107" t="str">
        <f>IF(B6&lt;=0.4,"USE","DON'T USE")</f>
        <v>USE</v>
      </c>
      <c r="D11" s="107"/>
      <c r="E11" s="107"/>
      <c r="F11" s="107"/>
      <c r="G11" s="107"/>
      <c r="H11" s="106"/>
      <c r="J11" s="108" t="s">
        <v>216</v>
      </c>
      <c r="K11" s="107" t="s">
        <v>214</v>
      </c>
      <c r="L11" s="107" t="str">
        <f>IF(B6&gt;0.4,"USE","DON'T USE")</f>
        <v>DON'T USE</v>
      </c>
      <c r="M11" s="107"/>
      <c r="N11" s="107"/>
      <c r="O11" s="107"/>
      <c r="P11" s="107"/>
      <c r="Q11" s="106"/>
    </row>
    <row r="12" spans="1:17">
      <c r="A12" s="90" t="s">
        <v>202</v>
      </c>
      <c r="B12" s="69" t="s">
        <v>24</v>
      </c>
      <c r="C12" s="69" t="s">
        <v>185</v>
      </c>
      <c r="D12" s="69" t="s">
        <v>184</v>
      </c>
      <c r="E12" s="69" t="s">
        <v>183</v>
      </c>
      <c r="F12" s="69" t="s">
        <v>182</v>
      </c>
      <c r="G12" s="69" t="s">
        <v>181</v>
      </c>
      <c r="H12" s="88" t="s">
        <v>180</v>
      </c>
      <c r="J12" s="90" t="s">
        <v>202</v>
      </c>
      <c r="K12" s="69" t="s">
        <v>24</v>
      </c>
      <c r="L12" s="69" t="s">
        <v>185</v>
      </c>
      <c r="M12" s="69" t="s">
        <v>184</v>
      </c>
      <c r="N12" s="69" t="s">
        <v>183</v>
      </c>
      <c r="O12" s="69" t="s">
        <v>182</v>
      </c>
      <c r="P12" s="69" t="s">
        <v>181</v>
      </c>
      <c r="Q12" s="88" t="s">
        <v>180</v>
      </c>
    </row>
    <row r="13" spans="1:17">
      <c r="A13" s="87">
        <v>0</v>
      </c>
      <c r="B13" s="85">
        <f t="shared" ref="B13:B23" si="0">A13*$B$4</f>
        <v>0</v>
      </c>
      <c r="C13" s="85">
        <f>$B$4-B13</f>
        <v>7.5</v>
      </c>
      <c r="D13" s="85">
        <f t="shared" ref="D13:D23" si="1">(0.28*B$3/(B$4^2))*(A13^2/((0.16+A13^2)^3))</f>
        <v>0</v>
      </c>
      <c r="E13" s="85">
        <v>0</v>
      </c>
      <c r="F13" s="85">
        <f>C13-B13</f>
        <v>7.5</v>
      </c>
      <c r="G13" s="85">
        <f t="shared" ref="G13:G23" si="2">E13*F13</f>
        <v>0</v>
      </c>
      <c r="H13" s="84"/>
      <c r="I13" s="76"/>
      <c r="J13" s="87">
        <v>0</v>
      </c>
      <c r="K13" s="85">
        <f t="shared" ref="K13:K23" si="3">J13*$B$4</f>
        <v>0</v>
      </c>
      <c r="L13" s="85">
        <f t="shared" ref="L13:L23" si="4">$B$4-K13</f>
        <v>7.5</v>
      </c>
      <c r="M13" s="39">
        <f t="shared" ref="M13:M23" si="5">(1.77*B$3/(B$4)^2)*(B$6^2*J13^2/((B$6^2+J13^2)^3))</f>
        <v>0</v>
      </c>
      <c r="N13" s="85">
        <v>0</v>
      </c>
      <c r="O13" s="85">
        <f>L13-K13</f>
        <v>7.5</v>
      </c>
      <c r="P13" s="85">
        <f t="shared" ref="P13:P23" si="6">N13*O13</f>
        <v>0</v>
      </c>
      <c r="Q13" s="84"/>
    </row>
    <row r="14" spans="1:17">
      <c r="A14" s="83">
        <v>0.1</v>
      </c>
      <c r="B14" s="39">
        <f t="shared" si="0"/>
        <v>0.75</v>
      </c>
      <c r="C14" s="39">
        <f t="shared" ref="C14:C23" si="7">B$4-B14</f>
        <v>6.75</v>
      </c>
      <c r="D14" s="39">
        <f t="shared" si="1"/>
        <v>140.8327114005925</v>
      </c>
      <c r="E14" s="39">
        <f t="shared" ref="E14:E23" si="8">((D14+D13)/2)*(B14-B13)</f>
        <v>52.812266775222184</v>
      </c>
      <c r="F14" s="39">
        <f t="shared" ref="F14:F23" si="9">C13-((B14-B13)*(2*D14+D13))/(3*(D14+D13))</f>
        <v>7</v>
      </c>
      <c r="G14" s="39">
        <f t="shared" si="2"/>
        <v>369.68586742655532</v>
      </c>
      <c r="H14" s="82"/>
      <c r="I14" s="76"/>
      <c r="J14" s="83">
        <v>0.1</v>
      </c>
      <c r="K14" s="39">
        <f t="shared" si="3"/>
        <v>0.75</v>
      </c>
      <c r="L14" s="39">
        <f t="shared" si="4"/>
        <v>6.75</v>
      </c>
      <c r="M14" s="39">
        <f t="shared" si="5"/>
        <v>582.85691370814152</v>
      </c>
      <c r="N14" s="39">
        <f t="shared" ref="N14:N23" si="10">((M14+M13)/2)*(K14-K13)</f>
        <v>218.57134264055307</v>
      </c>
      <c r="O14" s="39">
        <f t="shared" ref="O14:O23" si="11">L13-((K14-K13)*(2*M14+M13))/(3*(M14+M13))</f>
        <v>7</v>
      </c>
      <c r="P14" s="39">
        <f t="shared" si="6"/>
        <v>1529.9993984838716</v>
      </c>
      <c r="Q14" s="82"/>
    </row>
    <row r="15" spans="1:17">
      <c r="A15" s="83">
        <v>0.2</v>
      </c>
      <c r="B15" s="39">
        <f t="shared" si="0"/>
        <v>1.5</v>
      </c>
      <c r="C15" s="39">
        <f t="shared" si="7"/>
        <v>6</v>
      </c>
      <c r="D15" s="39">
        <f t="shared" si="1"/>
        <v>345.95555555555558</v>
      </c>
      <c r="E15" s="39">
        <f t="shared" si="8"/>
        <v>182.5456001085555</v>
      </c>
      <c r="F15" s="39">
        <f t="shared" si="9"/>
        <v>6.3223274989150875</v>
      </c>
      <c r="G15" s="39">
        <f t="shared" si="2"/>
        <v>1154.1130673722776</v>
      </c>
      <c r="H15" s="82"/>
      <c r="I15" s="76"/>
      <c r="J15" s="83">
        <v>0.2</v>
      </c>
      <c r="K15" s="39">
        <f t="shared" si="3"/>
        <v>1.5</v>
      </c>
      <c r="L15" s="39">
        <f t="shared" si="4"/>
        <v>6</v>
      </c>
      <c r="M15" s="39">
        <f t="shared" si="5"/>
        <v>906.96499200000017</v>
      </c>
      <c r="N15" s="39">
        <f t="shared" si="10"/>
        <v>558.68321464055316</v>
      </c>
      <c r="O15" s="39">
        <f t="shared" si="11"/>
        <v>6.3478064746321303</v>
      </c>
      <c r="P15" s="39">
        <f t="shared" si="6"/>
        <v>3546.4129271635957</v>
      </c>
      <c r="Q15" s="82"/>
    </row>
    <row r="16" spans="1:17">
      <c r="A16" s="83">
        <v>0.3</v>
      </c>
      <c r="B16" s="39">
        <f t="shared" si="0"/>
        <v>2.25</v>
      </c>
      <c r="C16" s="39">
        <f t="shared" si="7"/>
        <v>5.25</v>
      </c>
      <c r="D16" s="39">
        <f t="shared" si="1"/>
        <v>398.54079999999999</v>
      </c>
      <c r="E16" s="39">
        <f t="shared" si="8"/>
        <v>279.18613333333332</v>
      </c>
      <c r="F16" s="39">
        <f t="shared" si="9"/>
        <v>5.6161710037174721</v>
      </c>
      <c r="G16" s="39">
        <f t="shared" si="2"/>
        <v>1567.9570666666666</v>
      </c>
      <c r="H16" s="82"/>
      <c r="I16" s="76"/>
      <c r="J16" s="83">
        <v>0.3</v>
      </c>
      <c r="K16" s="39">
        <f t="shared" si="3"/>
        <v>2.25</v>
      </c>
      <c r="L16" s="39">
        <f t="shared" si="4"/>
        <v>5.25</v>
      </c>
      <c r="M16" s="39">
        <f t="shared" si="5"/>
        <v>669.37430218541158</v>
      </c>
      <c r="N16" s="39">
        <f t="shared" si="10"/>
        <v>591.1272353195294</v>
      </c>
      <c r="O16" s="39">
        <f t="shared" si="11"/>
        <v>5.6438403831182615</v>
      </c>
      <c r="P16" s="39">
        <f t="shared" si="6"/>
        <v>3336.2277622574115</v>
      </c>
      <c r="Q16" s="82"/>
    </row>
    <row r="17" spans="1:17">
      <c r="A17" s="83">
        <v>0.4</v>
      </c>
      <c r="B17" s="39">
        <f t="shared" si="0"/>
        <v>3</v>
      </c>
      <c r="C17" s="39">
        <f t="shared" si="7"/>
        <v>4.5</v>
      </c>
      <c r="D17" s="39">
        <f t="shared" si="1"/>
        <v>337.84722222222211</v>
      </c>
      <c r="E17" s="39">
        <f t="shared" si="8"/>
        <v>276.14550833333328</v>
      </c>
      <c r="F17" s="39">
        <f t="shared" si="9"/>
        <v>4.8853025809672017</v>
      </c>
      <c r="G17" s="39">
        <f t="shared" si="2"/>
        <v>1349.0543645833329</v>
      </c>
      <c r="H17" s="82"/>
      <c r="I17" s="76"/>
      <c r="J17" s="83">
        <v>0.4</v>
      </c>
      <c r="K17" s="39">
        <f t="shared" si="3"/>
        <v>3</v>
      </c>
      <c r="L17" s="39">
        <f t="shared" si="4"/>
        <v>4.5</v>
      </c>
      <c r="M17" s="39">
        <f t="shared" si="5"/>
        <v>403.14428766499759</v>
      </c>
      <c r="N17" s="39">
        <f t="shared" si="10"/>
        <v>402.19447119390344</v>
      </c>
      <c r="O17" s="39">
        <f t="shared" si="11"/>
        <v>4.9060286013967307</v>
      </c>
      <c r="P17" s="39">
        <f t="shared" si="6"/>
        <v>1973.1775790009237</v>
      </c>
      <c r="Q17" s="82"/>
    </row>
    <row r="18" spans="1:17">
      <c r="A18" s="83">
        <v>0.5</v>
      </c>
      <c r="B18" s="39">
        <f t="shared" si="0"/>
        <v>3.75</v>
      </c>
      <c r="C18" s="39">
        <f t="shared" si="7"/>
        <v>3.75</v>
      </c>
      <c r="D18" s="39">
        <f t="shared" si="1"/>
        <v>250.97978522914318</v>
      </c>
      <c r="E18" s="39">
        <f t="shared" si="8"/>
        <v>220.81012779426197</v>
      </c>
      <c r="F18" s="39">
        <f t="shared" si="9"/>
        <v>4.1434407805462827</v>
      </c>
      <c r="G18" s="39">
        <f t="shared" si="2"/>
        <v>914.91368826038126</v>
      </c>
      <c r="H18" s="82"/>
      <c r="I18" s="76"/>
      <c r="J18" s="83">
        <v>0.5</v>
      </c>
      <c r="K18" s="39">
        <f t="shared" si="3"/>
        <v>3.75</v>
      </c>
      <c r="L18" s="39">
        <f t="shared" si="4"/>
        <v>3.75</v>
      </c>
      <c r="M18" s="39">
        <f t="shared" si="5"/>
        <v>234.84267201887647</v>
      </c>
      <c r="N18" s="39">
        <f t="shared" si="10"/>
        <v>239.24510988145278</v>
      </c>
      <c r="O18" s="39">
        <f t="shared" si="11"/>
        <v>4.1579751284668722</v>
      </c>
      <c r="P18" s="39">
        <f t="shared" si="6"/>
        <v>994.77521649440462</v>
      </c>
      <c r="Q18" s="82"/>
    </row>
    <row r="19" spans="1:17">
      <c r="A19" s="83">
        <v>0.6</v>
      </c>
      <c r="B19" s="39">
        <f t="shared" si="0"/>
        <v>4.5</v>
      </c>
      <c r="C19" s="39">
        <f t="shared" si="7"/>
        <v>3</v>
      </c>
      <c r="D19" s="39">
        <f t="shared" si="1"/>
        <v>177.15065999089666</v>
      </c>
      <c r="E19" s="39">
        <f t="shared" si="8"/>
        <v>160.54891695751496</v>
      </c>
      <c r="F19" s="39">
        <f t="shared" si="9"/>
        <v>3.39655567481317</v>
      </c>
      <c r="G19" s="39">
        <f t="shared" si="2"/>
        <v>545.31333497715582</v>
      </c>
      <c r="H19" s="82"/>
      <c r="I19" s="76"/>
      <c r="J19" s="83">
        <v>0.6</v>
      </c>
      <c r="K19" s="39">
        <f t="shared" si="3"/>
        <v>4.5</v>
      </c>
      <c r="L19" s="39">
        <f t="shared" si="4"/>
        <v>3</v>
      </c>
      <c r="M19" s="39">
        <f t="shared" si="5"/>
        <v>139.74550797492637</v>
      </c>
      <c r="N19" s="39">
        <f t="shared" si="10"/>
        <v>140.47056749767606</v>
      </c>
      <c r="O19" s="39">
        <f t="shared" si="11"/>
        <v>3.4067339044325702</v>
      </c>
      <c r="P19" s="39">
        <f t="shared" si="6"/>
        <v>478.54584486921686</v>
      </c>
      <c r="Q19" s="82"/>
    </row>
    <row r="20" spans="1:17">
      <c r="A20" s="83">
        <v>0.7</v>
      </c>
      <c r="B20" s="39">
        <f t="shared" si="0"/>
        <v>5.25</v>
      </c>
      <c r="C20" s="39">
        <f t="shared" si="7"/>
        <v>2.25</v>
      </c>
      <c r="D20" s="39">
        <f t="shared" si="1"/>
        <v>123.45432660698935</v>
      </c>
      <c r="E20" s="39">
        <f t="shared" si="8"/>
        <v>112.72686997420726</v>
      </c>
      <c r="F20" s="39">
        <f t="shared" si="9"/>
        <v>2.6473284442116292</v>
      </c>
      <c r="G20" s="39">
        <f t="shared" si="2"/>
        <v>298.4250493096647</v>
      </c>
      <c r="H20" s="82"/>
      <c r="I20" s="76"/>
      <c r="J20" s="83">
        <v>0.7</v>
      </c>
      <c r="K20" s="39">
        <f t="shared" si="3"/>
        <v>5.25</v>
      </c>
      <c r="L20" s="39">
        <f t="shared" si="4"/>
        <v>2.25</v>
      </c>
      <c r="M20" s="39">
        <f t="shared" si="5"/>
        <v>86.268546003546589</v>
      </c>
      <c r="N20" s="39">
        <f t="shared" si="10"/>
        <v>84.755270241927363</v>
      </c>
      <c r="O20" s="39">
        <f t="shared" si="11"/>
        <v>2.6545761264786623</v>
      </c>
      <c r="P20" s="39">
        <f t="shared" si="6"/>
        <v>224.98931697746778</v>
      </c>
      <c r="Q20" s="82"/>
    </row>
    <row r="21" spans="1:17">
      <c r="A21" s="83">
        <v>0.8</v>
      </c>
      <c r="B21" s="39">
        <f t="shared" si="0"/>
        <v>6</v>
      </c>
      <c r="C21" s="39">
        <f t="shared" si="7"/>
        <v>1.5</v>
      </c>
      <c r="D21" s="39">
        <f t="shared" si="1"/>
        <v>86.48888888888888</v>
      </c>
      <c r="E21" s="39">
        <f t="shared" si="8"/>
        <v>78.728705810954338</v>
      </c>
      <c r="F21" s="39">
        <f t="shared" si="9"/>
        <v>1.8970091880742546</v>
      </c>
      <c r="G21" s="39">
        <f t="shared" si="2"/>
        <v>149.34907828857533</v>
      </c>
      <c r="H21" s="82"/>
      <c r="I21" s="76"/>
      <c r="J21" s="83">
        <v>0.8</v>
      </c>
      <c r="K21" s="39">
        <f t="shared" si="3"/>
        <v>6</v>
      </c>
      <c r="L21" s="39">
        <f t="shared" si="4"/>
        <v>1.5</v>
      </c>
      <c r="M21" s="39">
        <f t="shared" si="5"/>
        <v>55.35674999999997</v>
      </c>
      <c r="N21" s="39">
        <f t="shared" si="10"/>
        <v>53.109486001329962</v>
      </c>
      <c r="O21" s="39">
        <f t="shared" si="11"/>
        <v>1.9022830815502518</v>
      </c>
      <c r="P21" s="39">
        <f t="shared" si="6"/>
        <v>101.02927669015992</v>
      </c>
      <c r="Q21" s="82"/>
    </row>
    <row r="22" spans="1:17">
      <c r="A22" s="83">
        <v>0.9</v>
      </c>
      <c r="B22" s="39">
        <f t="shared" si="0"/>
        <v>6.75</v>
      </c>
      <c r="C22" s="39">
        <f t="shared" si="7"/>
        <v>0.75</v>
      </c>
      <c r="D22" s="39">
        <f t="shared" si="1"/>
        <v>61.407316749810704</v>
      </c>
      <c r="E22" s="39">
        <f t="shared" si="8"/>
        <v>55.461077114512349</v>
      </c>
      <c r="F22" s="39">
        <f t="shared" si="9"/>
        <v>1.1461986271307314</v>
      </c>
      <c r="G22" s="39">
        <f t="shared" si="2"/>
        <v>63.569410447845684</v>
      </c>
      <c r="H22" s="82"/>
      <c r="I22" s="76"/>
      <c r="J22" s="83">
        <v>0.9</v>
      </c>
      <c r="K22" s="39">
        <f t="shared" si="3"/>
        <v>6.75</v>
      </c>
      <c r="L22" s="39">
        <f t="shared" si="4"/>
        <v>0.75</v>
      </c>
      <c r="M22" s="39">
        <f t="shared" si="5"/>
        <v>36.829514140044282</v>
      </c>
      <c r="N22" s="39">
        <f t="shared" si="10"/>
        <v>34.569849052516588</v>
      </c>
      <c r="O22" s="39">
        <f t="shared" si="11"/>
        <v>1.1501220125264677</v>
      </c>
      <c r="P22" s="39">
        <f t="shared" si="6"/>
        <v>39.759544365016581</v>
      </c>
      <c r="Q22" s="82"/>
    </row>
    <row r="23" spans="1:17">
      <c r="A23" s="81">
        <v>1</v>
      </c>
      <c r="B23" s="79">
        <f t="shared" si="0"/>
        <v>7.5</v>
      </c>
      <c r="C23" s="79">
        <f t="shared" si="7"/>
        <v>0</v>
      </c>
      <c r="D23" s="79">
        <f t="shared" si="1"/>
        <v>44.327816274185551</v>
      </c>
      <c r="E23" s="79">
        <f t="shared" si="8"/>
        <v>39.650674883998597</v>
      </c>
      <c r="F23" s="79">
        <f t="shared" si="9"/>
        <v>0.39519137346683647</v>
      </c>
      <c r="G23" s="79">
        <f t="shared" si="2"/>
        <v>15.669604666294402</v>
      </c>
      <c r="H23" s="78"/>
      <c r="I23" s="76"/>
      <c r="J23" s="81">
        <v>1</v>
      </c>
      <c r="K23" s="79">
        <f t="shared" si="3"/>
        <v>7.5</v>
      </c>
      <c r="L23" s="79">
        <f t="shared" si="4"/>
        <v>0</v>
      </c>
      <c r="M23" s="39">
        <f t="shared" si="5"/>
        <v>25.310424610186331</v>
      </c>
      <c r="N23" s="79">
        <f t="shared" si="10"/>
        <v>23.30247703133648</v>
      </c>
      <c r="O23" s="79">
        <f t="shared" si="11"/>
        <v>0.39817167059046865</v>
      </c>
      <c r="P23" s="79">
        <f t="shared" si="6"/>
        <v>9.2783862084632709</v>
      </c>
      <c r="Q23" s="78"/>
    </row>
    <row r="24" spans="1:17">
      <c r="A24" s="77"/>
      <c r="B24" s="74"/>
      <c r="C24" s="74"/>
      <c r="D24" s="73"/>
      <c r="E24" s="73">
        <f>SUM(E14:E23)</f>
        <v>1458.6158810858935</v>
      </c>
      <c r="F24" s="73"/>
      <c r="G24" s="73">
        <f>SUM(G14:G23)</f>
        <v>6428.0505319987496</v>
      </c>
      <c r="H24" s="72">
        <f>G24/E24</f>
        <v>4.4069522451745611</v>
      </c>
      <c r="I24" s="76"/>
      <c r="J24" s="77"/>
      <c r="K24" s="74"/>
      <c r="L24" s="74"/>
      <c r="M24" s="73"/>
      <c r="N24" s="73">
        <f>SUM(N14:N23)</f>
        <v>2346.0290235007783</v>
      </c>
      <c r="O24" s="73"/>
      <c r="P24" s="73">
        <f>SUM(P14:P23)</f>
        <v>12234.195252510532</v>
      </c>
      <c r="Q24" s="72">
        <f>P24/N24</f>
        <v>5.2148524719674993</v>
      </c>
    </row>
  </sheetData>
  <pageMargins left="0.7" right="0.7" top="0.75" bottom="0.75" header="0.3" footer="0.3"/>
  <pageSetup orientation="portrait" r:id="rId1"/>
  <headerFooter>
    <oddFooter xml:space="preserve">&amp;LBoussinesq Eqation Modfied by Expierment (Terzaghi) See NAVFAC DM2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53</vt:i4>
      </vt:variant>
    </vt:vector>
  </HeadingPairs>
  <TitlesOfParts>
    <vt:vector size="64" baseType="lpstr">
      <vt:lpstr>Elastic Method Finite</vt:lpstr>
      <vt:lpstr>Elastic Method (Discrete) Strip</vt:lpstr>
      <vt:lpstr>Strip Load Mod Terzaghi</vt:lpstr>
      <vt:lpstr>Strip Load Mod Ter. (Backslope)</vt:lpstr>
      <vt:lpstr>Strip Load Anders (Backslope)</vt:lpstr>
      <vt:lpstr>Strip Load Bous. B&amp;P Vert Ka</vt:lpstr>
      <vt:lpstr>Strip Mod Ter. (BS w- Vert Ka)</vt:lpstr>
      <vt:lpstr>Line Load Mod Terazghi</vt:lpstr>
      <vt:lpstr>Point Load Mod Terzaghi</vt:lpstr>
      <vt:lpstr>NCMA Method</vt:lpstr>
      <vt:lpstr>Sheet1</vt:lpstr>
      <vt:lpstr>'Strip Load Anders (Backslope)'!H</vt:lpstr>
      <vt:lpstr>'Strip Load Bous. B&amp;P Vert Ka'!H</vt:lpstr>
      <vt:lpstr>'Strip Load Mod Ter. (Backslope)'!H</vt:lpstr>
      <vt:lpstr>'Strip Mod Ter. (BS w- Vert Ka)'!H</vt:lpstr>
      <vt:lpstr>H</vt:lpstr>
      <vt:lpstr>'Strip Load Anders (Backslope)'!K</vt:lpstr>
      <vt:lpstr>'Strip Load Bous. B&amp;P Vert Ka'!K</vt:lpstr>
      <vt:lpstr>'Strip Load Mod Ter. (Backslope)'!K</vt:lpstr>
      <vt:lpstr>'Strip Mod Ter. (BS w- Vert Ka)'!K</vt:lpstr>
      <vt:lpstr>K</vt:lpstr>
      <vt:lpstr>Ka</vt:lpstr>
      <vt:lpstr>Kae</vt:lpstr>
      <vt:lpstr>P</vt:lpstr>
      <vt:lpstr>'Strip Load Anders (Backslope)'!q</vt:lpstr>
      <vt:lpstr>'Strip Load Bous. B&amp;P Vert Ka'!q</vt:lpstr>
      <vt:lpstr>'Strip Load Mod Ter. (Backslope)'!q</vt:lpstr>
      <vt:lpstr>'Strip Mod Ter. (BS w- Vert Ka)'!q</vt:lpstr>
      <vt:lpstr>q</vt:lpstr>
      <vt:lpstr>'Strip Load Anders (Backslope)'!qi</vt:lpstr>
      <vt:lpstr>'Strip Mod Ter. (BS w- Vert Ka)'!qi</vt:lpstr>
      <vt:lpstr>qi</vt:lpstr>
      <vt:lpstr>'Strip Load Anders (Backslope)'!Sq</vt:lpstr>
      <vt:lpstr>'Strip Mod Ter. (BS w- Vert Ka)'!Sq</vt:lpstr>
      <vt:lpstr>Sq</vt:lpstr>
      <vt:lpstr>v</vt:lpstr>
      <vt:lpstr>'Strip Load Anders (Backslope)'!x_1</vt:lpstr>
      <vt:lpstr>'Strip Load Bous. B&amp;P Vert Ka'!x_1</vt:lpstr>
      <vt:lpstr>'Strip Load Mod Ter. (Backslope)'!x_1</vt:lpstr>
      <vt:lpstr>'Strip Mod Ter. (BS w- Vert Ka)'!x_1</vt:lpstr>
      <vt:lpstr>x_1</vt:lpstr>
      <vt:lpstr>X_1a</vt:lpstr>
      <vt:lpstr>'Strip Load Anders (Backslope)'!x_1i</vt:lpstr>
      <vt:lpstr>'Strip Mod Ter. (BS w- Vert Ka)'!x_1i</vt:lpstr>
      <vt:lpstr>x_1i</vt:lpstr>
      <vt:lpstr>'Strip Load Anders (Backslope)'!x_2</vt:lpstr>
      <vt:lpstr>'Strip Load Bous. B&amp;P Vert Ka'!x_2</vt:lpstr>
      <vt:lpstr>'Strip Load Mod Ter. (Backslope)'!x_2</vt:lpstr>
      <vt:lpstr>'Strip Mod Ter. (BS w- Vert Ka)'!x_2</vt:lpstr>
      <vt:lpstr>x_2</vt:lpstr>
      <vt:lpstr>X_2a</vt:lpstr>
      <vt:lpstr>'Strip Load Bous. B&amp;P Vert Ka'!x_q</vt:lpstr>
      <vt:lpstr>x_q</vt:lpstr>
      <vt:lpstr>'Strip Load Anders (Backslope)'!x_qbs</vt:lpstr>
      <vt:lpstr>'Strip Mod Ter. (BS w- Vert Ka)'!x_qbs</vt:lpstr>
      <vt:lpstr>x_qbs</vt:lpstr>
      <vt:lpstr>'Strip Load Anders (Backslope)'!x_qi</vt:lpstr>
      <vt:lpstr>'Strip Mod Ter. (BS w- Vert Ka)'!x_qi</vt:lpstr>
      <vt:lpstr>x_qi</vt:lpstr>
      <vt:lpstr>xseg</vt:lpstr>
      <vt:lpstr>'Strip Load Anders (Backslope)'!y_1</vt:lpstr>
      <vt:lpstr>'Strip Mod Ter. (BS w- Vert Ka)'!y_1</vt:lpstr>
      <vt:lpstr>y_1</vt:lpstr>
      <vt:lpstr>zseg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Freund</dc:creator>
  <cp:lastModifiedBy>VNA2</cp:lastModifiedBy>
  <cp:lastPrinted>2012-02-13T17:45:39Z</cp:lastPrinted>
  <dcterms:created xsi:type="dcterms:W3CDTF">2012-01-30T00:49:31Z</dcterms:created>
  <dcterms:modified xsi:type="dcterms:W3CDTF">2014-01-10T16:52:30Z</dcterms:modified>
</cp:coreProperties>
</file>